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racheld\Downloads\"/>
    </mc:Choice>
  </mc:AlternateContent>
  <xr:revisionPtr revIDLastSave="0" documentId="8_{1A61AF16-9A79-4873-B92E-B81662DDD96C}" xr6:coauthVersionLast="47" xr6:coauthVersionMax="47" xr10:uidLastSave="{00000000-0000-0000-0000-000000000000}"/>
  <bookViews>
    <workbookView xWindow="-108" yWindow="-108" windowWidth="23256" windowHeight="14016"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expenses'!$A$1:$E$31</definedName>
    <definedName name="_xlnm.Print_Area" localSheetId="5">'Gifts and benefits'!$A$1:$F$104</definedName>
    <definedName name="_xlnm.Print_Area" localSheetId="0">'Guidance for agencies'!$A$1:$A$49</definedName>
    <definedName name="_xlnm.Print_Area" localSheetId="3">Hospitality!$A$1:$E$32</definedName>
    <definedName name="_xlnm.Print_Area" localSheetId="1">'Summary and sign-off'!$A$1:$F$23</definedName>
    <definedName name="_xlnm.Print_Area" localSheetId="2">Travel!$A$1:$E$162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8" i="1" l="1"/>
  <c r="B119" i="1"/>
  <c r="B113" i="1"/>
  <c r="B89" i="1"/>
  <c r="B87" i="1"/>
  <c r="B80" i="1"/>
  <c r="B77" i="1"/>
  <c r="B65" i="1"/>
  <c r="B52" i="1"/>
  <c r="B49" i="1"/>
  <c r="B40" i="1"/>
  <c r="B34" i="1"/>
  <c r="B59" i="1"/>
  <c r="B115" i="1" l="1"/>
  <c r="B131" i="1"/>
  <c r="B127" i="1"/>
  <c r="B118" i="1"/>
  <c r="C11" i="13"/>
  <c r="B103" i="1"/>
  <c r="B141" i="1"/>
  <c r="B33" i="1"/>
  <c r="B28" i="1" l="1"/>
  <c r="B55" i="1"/>
  <c r="B58" i="1"/>
  <c r="B51" i="1"/>
  <c r="B42" i="1"/>
  <c r="B67" i="1"/>
  <c r="B61" i="1"/>
  <c r="B76" i="1"/>
  <c r="B95" i="1"/>
  <c r="B102" i="1"/>
  <c r="B91" i="1"/>
  <c r="B109" i="1" l="1"/>
  <c r="B107" i="1"/>
  <c r="B132" i="1"/>
  <c r="B124" i="1"/>
  <c r="B120" i="1"/>
  <c r="B116" i="1"/>
  <c r="B99" i="1"/>
  <c r="B92" i="1"/>
  <c r="B85" i="1"/>
  <c r="B73" i="1"/>
  <c r="B72" i="1"/>
  <c r="B69" i="1"/>
  <c r="B62" i="1"/>
  <c r="B50" i="1"/>
  <c r="B43" i="1"/>
  <c r="B37" i="1"/>
  <c r="B31" i="1"/>
  <c r="D93" i="4" l="1"/>
  <c r="C94" i="4"/>
  <c r="C95" i="4"/>
  <c r="C25" i="3"/>
  <c r="C25" i="2"/>
  <c r="C137" i="1"/>
  <c r="C151" i="1"/>
  <c r="C22" i="1"/>
  <c r="C93" i="4" l="1"/>
  <c r="B6" i="13"/>
  <c r="E60" i="13"/>
  <c r="C60" i="13"/>
  <c r="B60" i="13" l="1"/>
  <c r="B59" i="13"/>
  <c r="D59" i="13"/>
  <c r="B58" i="13"/>
  <c r="D58" i="13"/>
  <c r="D57" i="13"/>
  <c r="B57" i="13"/>
  <c r="D56" i="13"/>
  <c r="B56" i="13"/>
  <c r="D55" i="13"/>
  <c r="B55" i="13"/>
  <c r="B2" i="4"/>
  <c r="B3" i="4"/>
  <c r="B2" i="3"/>
  <c r="B3" i="3"/>
  <c r="B2" i="2"/>
  <c r="B3" i="2"/>
  <c r="B2" i="1"/>
  <c r="B3" i="1"/>
  <c r="F58" i="13" l="1"/>
  <c r="D25" i="2" s="1"/>
  <c r="F60" i="13"/>
  <c r="E93" i="4" s="1"/>
  <c r="F59" i="13"/>
  <c r="D25" i="3" s="1"/>
  <c r="F57" i="13"/>
  <c r="D151" i="1" s="1"/>
  <c r="F56" i="13"/>
  <c r="D137" i="1" s="1"/>
  <c r="F55" i="13"/>
  <c r="D22" i="1" s="1"/>
  <c r="C13" i="13"/>
  <c r="C12" i="13"/>
  <c r="C16" i="13" l="1"/>
  <c r="C17" i="13"/>
  <c r="B5" i="4" l="1"/>
  <c r="B4" i="4"/>
  <c r="B5" i="3"/>
  <c r="B4" i="3"/>
  <c r="B5" i="2"/>
  <c r="B4" i="2"/>
  <c r="B5" i="1"/>
  <c r="B4" i="1"/>
  <c r="C15" i="13" l="1"/>
  <c r="F12" i="13" l="1"/>
  <c r="F11" i="13"/>
  <c r="F13" i="13" l="1"/>
  <c r="B151" i="1"/>
  <c r="B17" i="13" s="1"/>
  <c r="B137" i="1"/>
  <c r="B16" i="13" s="1"/>
  <c r="B22" i="1"/>
  <c r="B15" i="13" s="1"/>
  <c r="B25" i="3" l="1"/>
  <c r="B13" i="13" s="1"/>
  <c r="B25" i="2"/>
  <c r="B12" i="13" s="1"/>
  <c r="B11" i="13" l="1"/>
  <c r="B15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40"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<sst xmlns="http://schemas.openxmlformats.org/spreadsheetml/2006/main" count="914" uniqueCount="388">
  <si>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</si>
  <si>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</si>
  <si>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</si>
  <si>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</si>
  <si>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</si>
  <si>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</si>
  <si>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</si>
  <si>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</si>
  <si>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</si>
  <si>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</si>
  <si>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</si>
  <si>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</si>
  <si>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</si>
  <si>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</si>
  <si>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</si>
  <si>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</si>
  <si>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</si>
  <si>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</si>
  <si>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</si>
  <si>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</si>
  <si>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</si>
  <si>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</si>
  <si>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</si>
  <si>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</si>
  <si>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</si>
  <si>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</si>
  <si>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</si>
  <si>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</si>
  <si>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</si>
  <si>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</si>
  <si>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</si>
  <si>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</si>
  <si>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</si>
  <si>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</si>
  <si>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</si>
  <si>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</si>
  <si>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</si>
  <si>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</si>
  <si>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</si>
  <si>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</si>
  <si>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</si>
  <si>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</si>
  <si>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</si>
  <si>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</si>
  <si>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</si>
  <si>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</si>
  <si>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</si>
  <si>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</si>
  <si>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</si>
  <si>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</si>
  <si>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</si>
  <si>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</si>
  <si>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</si>
  <si>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</si>
  <si>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</si>
  <si>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</si>
  <si>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</si>
  <si>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</si>
  <si>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</si>
  <si>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</si>
  <si>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</si>
  <si>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</si>
  <si>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</si>
  <si>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</si>
  <si>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</si>
  <si>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</si>
  <si>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</si>
  <si>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</si>
  <si>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</si>
  <si>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</si>
  <si>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</si>
  <si>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</si>
  <si>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</si>
  <si>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</si>
  <si>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</si>
  <si>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</si>
  <si>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</si>
  <si>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</si>
  <si>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</si>
  <si>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</si>
  <si>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</si>
  <si>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</si>
  <si>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</si>
  <si>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</si>
  <si>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</si>
  <si>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</si>
  <si>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</si>
  <si>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</si>
  <si>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</si>
  <si>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</si>
  <si>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</si>
  <si>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</si>
  <si>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</si>
  <si>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</si>
  <si>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</si>
  <si>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</si>
  <si>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</si>
  <si>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</si>
  <si>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</si>
  <si>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</si>
  <si>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</si>
  <si>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</si>
  <si>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</si>
  <si>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</si>
  <si>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</si>
  <si>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</si>
  <si>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</si>
  <si>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</si>
  <si>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</si>
  <si>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</si>
  <si>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</si>
  <si>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</si>
  <si>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</si>
  <si>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</si>
  <si>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</si>
  <si>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</si>
  <si>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</si>
  <si>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</si>
  <si>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</si>
  <si>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</si>
  <si>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</si>
  <si>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</si>
  <si>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</si>
  <si>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</si>
  <si>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</si>
  <si>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</si>
  <si>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</si>
  <si>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</si>
  <si>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</si>
  <si>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</si>
  <si>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</si>
  <si>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</si>
  <si>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</si>
  <si>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</si>
  <si>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</si>
  <si>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</si>
  <si>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</si>
  <si>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</si>
  <si>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</si>
  <si>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</si>
  <si>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</si>
  <si>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</si>
  <si>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</si>
  <si>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</si>
  <si>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</si>
  <si>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</si>
  <si>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</si>
  <si>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</si>
  <si>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</si>
  <si>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</si>
  <si>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</si>
  <si>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</si>
  <si>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</si>
  <si>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</si>
  <si>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</si>
  <si>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</si>
  <si>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</si>
  <si>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</si>
  <si>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</si>
  <si>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</si>
  <si>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</si>
  <si>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</si>
  <si>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</si>
  <si>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</si>
  <si>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</si>
  <si>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</si>
  <si>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</si>
  <si>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</si>
  <si>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</si>
  <si>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Gretchen La Roche</t>
  </si>
  <si>
    <t xml:space="preserve">Event ticket x 2 La bohème Opening Night in Christchurch </t>
  </si>
  <si>
    <t>NZ Opera</t>
  </si>
  <si>
    <t>Event ticket x 2 Pub Charity Opera in Concert - La Traviata</t>
  </si>
  <si>
    <t>Auckland Phiharmonia</t>
  </si>
  <si>
    <t>Event ticket x 1 - The Sound Inside</t>
  </si>
  <si>
    <t>Circa Theatre</t>
  </si>
  <si>
    <t>Event ticket x 1 - Takács Quartet 50th anniversary pefromance</t>
  </si>
  <si>
    <t>Chamber Music NZ</t>
  </si>
  <si>
    <t>Event ticket x 1 - Amalia plays Piazzolla</t>
  </si>
  <si>
    <t>Dunedin Symphony Orchestra</t>
  </si>
  <si>
    <t>Event ticket x 1 - Mary: The Birth of Frankenstein</t>
  </si>
  <si>
    <t>Auckland Theatre Company</t>
  </si>
  <si>
    <t xml:space="preserve">Event ticket x 2 - Mother Play </t>
  </si>
  <si>
    <t>Silo Theatre</t>
  </si>
  <si>
    <t>Event ticket x 2 - Mahler 6</t>
  </si>
  <si>
    <t>NZ Symphony Orchestra</t>
  </si>
  <si>
    <t>Event ticket x 2 Anna Leese, Gloria and Organ Symphony</t>
  </si>
  <si>
    <t>Event ticket x 2 - 2025 WOW RISE Awards Night</t>
  </si>
  <si>
    <t>World of Wearable Art</t>
  </si>
  <si>
    <t>Event ticket x 2  - See Me Go</t>
  </si>
  <si>
    <t xml:space="preserve">Jolt Dance </t>
  </si>
  <si>
    <t>Event ticket x 1 Tchaikovsky's Violin</t>
  </si>
  <si>
    <t>Auckland Philharmonia</t>
  </si>
  <si>
    <t>Event ticket x 2 - Stabat Mater</t>
  </si>
  <si>
    <t>Event ticket x 2 - Four Last Songs</t>
  </si>
  <si>
    <t>Event ticket x 2 - The Nutcracker in Wellington</t>
  </si>
  <si>
    <t>Royal New Zealand Ballet</t>
  </si>
  <si>
    <t>Event ticket x 1 - Fantastique!</t>
  </si>
  <si>
    <t>Event ticket x 2 - Wellington Jazz Festival - Samara Joy</t>
  </si>
  <si>
    <t>Tawhiri - Wellington Jazz Festival</t>
  </si>
  <si>
    <t>Event ticket x 1 - The Laureate Awards 2025</t>
  </si>
  <si>
    <t>Arts Foundation</t>
  </si>
  <si>
    <t>Event ticket x 2 - Enemy of the State</t>
  </si>
  <si>
    <t>Orchestra Wellington</t>
  </si>
  <si>
    <t>Event ticket x 2 - Affirmation Dvořák &amp; Brahms in Auckland</t>
  </si>
  <si>
    <t>Event ticket x 1 - D.R.A.G. (Dress as a God)</t>
  </si>
  <si>
    <t>Event ticket x 1 - Simply the Best</t>
  </si>
  <si>
    <t>Event ticket x 2 - Black Grace Double Bill</t>
  </si>
  <si>
    <t>Black Grace</t>
  </si>
  <si>
    <t>Event ticket x 2 - The Artist Repents</t>
  </si>
  <si>
    <t>Event ticket x 2 - Joyce DiDonato: Summer Nights</t>
  </si>
  <si>
    <t>Event ticket x 2 - The Little Umbrella season of The Wizard of Oz</t>
  </si>
  <si>
    <t>National Youth Theatre</t>
  </si>
  <si>
    <t>Event ticket x 2 - Hypnotique@ St Andrew's on the Terrace</t>
  </si>
  <si>
    <t>NZ Trio</t>
  </si>
  <si>
    <t>Event ticket x 1 - Opening night - A Christmas Carol</t>
  </si>
  <si>
    <t>Auckland Live - 818.co.nz</t>
  </si>
  <si>
    <t>Event ticket x 2 - The Nutcracker in Auckland</t>
  </si>
  <si>
    <t>Event ticket x 2 - Ghostfield</t>
  </si>
  <si>
    <t>Foster Group Dance</t>
  </si>
  <si>
    <t>Event ticket x 2 - Waikato Regional Theatre Opening Night - Teeks</t>
  </si>
  <si>
    <t>Live Nation / 818</t>
  </si>
  <si>
    <t>Event ticket x 2 - Return season of Murder on the Orient Express</t>
  </si>
  <si>
    <t>Event ticket x 1 ticket - ANITO</t>
  </si>
  <si>
    <t>Q Theatre</t>
  </si>
  <si>
    <t>Event ticket x 2 - D-Things N Such</t>
  </si>
  <si>
    <t>The Gentle Boys / Circa Theatre</t>
  </si>
  <si>
    <t>Event ticket x 2 - The Royal Edinburgh Tattoo</t>
  </si>
  <si>
    <t>Art in the Park | NZ Art Promotions</t>
  </si>
  <si>
    <t>British High Commission</t>
  </si>
  <si>
    <t>Event ticket x 1 - Classic Series - Best of Brahms</t>
  </si>
  <si>
    <t>Event ticket x 1  - Lamb &amp; Hayward Masterworks: Fauré, Farr, Schumann</t>
  </si>
  <si>
    <t>Christchurch Symphony Orchestra</t>
  </si>
  <si>
    <t>Event ticket x 2 - Rocky Horror Show opening night</t>
  </si>
  <si>
    <t>GMG Productions</t>
  </si>
  <si>
    <t>Event ticket x 2 - Groove Café</t>
  </si>
  <si>
    <t>Event ticket x 1 - Macbeth in Auckland</t>
  </si>
  <si>
    <t>Royal NZ Ballet</t>
  </si>
  <si>
    <t>Event ticket x 1 - Wet</t>
  </si>
  <si>
    <t>Te Pou Theatre</t>
  </si>
  <si>
    <t>Event ticket x 2 - Gloria - A triple Bill</t>
  </si>
  <si>
    <t>Aotearoa NZ Festival of the Arts</t>
  </si>
  <si>
    <t>Event ticket x 1 - Duck Pond</t>
  </si>
  <si>
    <t>Auckland Arts Festival</t>
  </si>
  <si>
    <t>Event ticket x 2 - Music Portrait of a Humble Disiabled Samoan</t>
  </si>
  <si>
    <t>Event ticket x 1 - Bluebeard's Castle</t>
  </si>
  <si>
    <t>Event tickt x 2 - Last Leaf, Wandering East</t>
  </si>
  <si>
    <t xml:space="preserve">NZ String Quartet </t>
  </si>
  <si>
    <t>Event ticket x 1 - La Ronde</t>
  </si>
  <si>
    <t>Event ticket x 2 - Ten Thousand Hours Opening</t>
  </si>
  <si>
    <t>Event ticket x 2 VIP - From the New World</t>
  </si>
  <si>
    <t>Event ticket x 2 - Symposium Brass</t>
  </si>
  <si>
    <t>Chamber Music New Zealand</t>
  </si>
  <si>
    <t>Event ticket x 2 VIP - Bolero</t>
  </si>
  <si>
    <t>Event ticket  x 2 - A View From the Bridge</t>
  </si>
  <si>
    <t>Event ticket x 2 - Nightsong's The Worm</t>
  </si>
  <si>
    <t>Elephant Publicity</t>
  </si>
  <si>
    <t>Event ticket x 2 - Helen Clark in Six Outfits</t>
  </si>
  <si>
    <t>Event ticket x 2 - Modern God return season opening night</t>
  </si>
  <si>
    <t>FootnoteNZ Modern Dance</t>
  </si>
  <si>
    <t xml:space="preserve">Event ticket x 1 - Wahine Mātātoa: The (Mostly) True Story of Erihāpeti Pātahi </t>
  </si>
  <si>
    <t>The Court Theatre</t>
  </si>
  <si>
    <t>Event ticket x 2 - Bridget and a French Connection</t>
  </si>
  <si>
    <t>Event ticket x 2 - Midsummer Night's Dream</t>
  </si>
  <si>
    <t>Event ticket x 1 - Split Enz show and pre-show function</t>
  </si>
  <si>
    <t xml:space="preserve">Live Nation </t>
  </si>
  <si>
    <t>Event ticket x 2 - Dramscape</t>
  </si>
  <si>
    <t>NZTrio</t>
  </si>
  <si>
    <t>Event ticket x 2 - NZSQ Presents: Origins</t>
  </si>
  <si>
    <t>New Zealand String Quartet</t>
  </si>
  <si>
    <t>Event ticket x 2 - Mahler's Resurrection: DSO and NZSO Unite</t>
  </si>
  <si>
    <t>Event ticket x 2 - Pōneke House Party</t>
  </si>
  <si>
    <t>NZ Comedy Trust</t>
  </si>
  <si>
    <t>Event ticket x 2 - Titan</t>
  </si>
  <si>
    <t>Event tickets x 2 - Let  The Right One In</t>
  </si>
  <si>
    <t>Court Theatre</t>
  </si>
  <si>
    <t>Event ticket x 2 - RBG: Of Many, One</t>
  </si>
  <si>
    <t>Event ticket x 2 tickets - Julia opening night</t>
  </si>
  <si>
    <t>Brave Theatre</t>
  </si>
  <si>
    <t>Event ticket x 2 - W:ELLINGTON!</t>
  </si>
  <si>
    <t>Event ticket x 2 - Balloon Dog</t>
  </si>
  <si>
    <t>Indian Ink Theatre Company</t>
  </si>
  <si>
    <t>Event ticket x 1 - Julia  : pre-show reception and performance at Circa Theatre</t>
  </si>
  <si>
    <t>Australian High Commission</t>
  </si>
  <si>
    <t>Event ticket x 2 - Romeo &amp; Juliet</t>
  </si>
  <si>
    <t>Event ticket x 2 - Chopin &amp; Tchaikovsky</t>
  </si>
  <si>
    <t>Event ticket x 1 - The Marriage of Figaro (in Wellington)</t>
  </si>
  <si>
    <t>Event ticket x 2 - Sons of Vao</t>
  </si>
  <si>
    <t>Event ticket x 2 - Beethoven, Ritchie and Faurē</t>
  </si>
  <si>
    <t>Event ticket x 2 - Gil Shaham Plays Beethoven</t>
  </si>
  <si>
    <t>Event ticket x 2 - Toiere in Nelson</t>
  </si>
  <si>
    <t>New Zealand Opera</t>
  </si>
  <si>
    <t>Event ticket x 2 - Constellations opening night</t>
  </si>
  <si>
    <t>airfares</t>
  </si>
  <si>
    <t>Christchurch</t>
  </si>
  <si>
    <t>Sector engagement meetings</t>
  </si>
  <si>
    <t>Hotel</t>
  </si>
  <si>
    <t>Taxi</t>
  </si>
  <si>
    <t>Wellington</t>
  </si>
  <si>
    <t>15-17Jul 2025</t>
  </si>
  <si>
    <t>6-9 Jul 2025</t>
  </si>
  <si>
    <t>Te Tiriti workshop</t>
  </si>
  <si>
    <t>24-25 Jul 2025</t>
  </si>
  <si>
    <t>NZSO Concert</t>
  </si>
  <si>
    <t xml:space="preserve">Council Meeting </t>
  </si>
  <si>
    <t>16-23 Sep 2025</t>
  </si>
  <si>
    <t>29 Jul - 1 Aug 2025</t>
  </si>
  <si>
    <t>10-14 Aug 2025</t>
  </si>
  <si>
    <t>hotel</t>
  </si>
  <si>
    <t>9-13 Nov 2025</t>
  </si>
  <si>
    <t>2-6 Nov 2025</t>
  </si>
  <si>
    <t>Dunedin</t>
  </si>
  <si>
    <t>25-28 Nov 2025</t>
  </si>
  <si>
    <t>Napier</t>
  </si>
  <si>
    <t>11-12 Dec 2025</t>
  </si>
  <si>
    <t>New Plymouth</t>
  </si>
  <si>
    <t>1-5 Dec 2025</t>
  </si>
  <si>
    <t>9-10 Mar 2026</t>
  </si>
  <si>
    <t>Gisborne</t>
  </si>
  <si>
    <t>Whangarei</t>
  </si>
  <si>
    <t>Nelson</t>
  </si>
  <si>
    <t>8-11 Jun 2026</t>
  </si>
  <si>
    <t>29-30 June 2026</t>
  </si>
  <si>
    <t>7-10 September 2025</t>
  </si>
  <si>
    <t>Building relationships - meeting with Graham Sattler, Chief Executive of CSO</t>
  </si>
  <si>
    <t>24-25 November 2025</t>
  </si>
  <si>
    <t>Dinner for 2</t>
  </si>
  <si>
    <t>Staff and stakeholder meetings</t>
  </si>
  <si>
    <t>Building relationships - meeting with Meg Williams, Te Ropu Mana Toi Rep &amp; CE of WOW</t>
  </si>
  <si>
    <t>13-17 October 2025</t>
  </si>
  <si>
    <t>10-13 October 2025</t>
  </si>
  <si>
    <t>Stakeholder meetings</t>
  </si>
  <si>
    <t>Staff meetings and Wellington office Christmas Party</t>
  </si>
  <si>
    <t>21-22 January 2026</t>
  </si>
  <si>
    <t>5-6 March 2026</t>
  </si>
  <si>
    <t>All in for Arts event and stakeholder meetings</t>
  </si>
  <si>
    <t>23-24 March 2026</t>
  </si>
  <si>
    <t>19-21 May 2026</t>
  </si>
  <si>
    <t>28-30 April 2026</t>
  </si>
  <si>
    <t>2-3 June 2026</t>
  </si>
  <si>
    <t>16-18 June 2026</t>
  </si>
  <si>
    <t>Uber</t>
  </si>
  <si>
    <t>10-14 March 2026</t>
  </si>
  <si>
    <t>CACE Meeting and 15 Years of Dame Malvina Major</t>
  </si>
  <si>
    <t>23-24 April 2026</t>
  </si>
  <si>
    <t>Airport parking</t>
  </si>
  <si>
    <t>Auckland</t>
  </si>
  <si>
    <t>Whanganui</t>
  </si>
  <si>
    <t>All in for Arts event and Tuku Rauemi sector engagement</t>
  </si>
  <si>
    <t>Christchurch/Wellington</t>
  </si>
  <si>
    <t>Dunedin/Wellington</t>
  </si>
  <si>
    <t>20-23 Aug 2025</t>
  </si>
  <si>
    <t>Tauranga</t>
  </si>
  <si>
    <t>Nui Te Korero</t>
  </si>
  <si>
    <t>Petrol</t>
  </si>
  <si>
    <t>Staff meetings and Toi Ngapuhi meetings</t>
  </si>
  <si>
    <t>2-3 July 2025</t>
  </si>
  <si>
    <t>Building relationships - meeting with Annie Murray, CE NZ Film Commission</t>
  </si>
  <si>
    <t>lunch for 2</t>
  </si>
  <si>
    <t>coffee for 2</t>
  </si>
  <si>
    <t>afternoon tea for 2</t>
  </si>
  <si>
    <t>Attend opening of Koanga Festival 2025</t>
  </si>
  <si>
    <t>Lunch for 1</t>
  </si>
  <si>
    <t>Meeting at NZ Opera with Chair, General Director and board members</t>
  </si>
  <si>
    <t>Building relationships - meeting with Dolina Wehi, Atamiria Trustee/ANZFA Director</t>
  </si>
  <si>
    <t>16-18 Feb 2026</t>
  </si>
  <si>
    <t>Museums Summit speaker and Stakeholder meetings</t>
  </si>
  <si>
    <t>Council meeting and Arts Pasifika and PM Awards</t>
  </si>
  <si>
    <t>Staff meeting and New Leader meetings</t>
  </si>
  <si>
    <t>23-24 January 2026</t>
  </si>
  <si>
    <t>Hamilton</t>
  </si>
  <si>
    <t>5-6 February 2026</t>
  </si>
  <si>
    <t>Te Atiawa and Tuku rauemi meetings</t>
  </si>
  <si>
    <t>Queenstown</t>
  </si>
  <si>
    <t>Keynote speaker Te Muka Toi Te Muka Takata Hui</t>
  </si>
  <si>
    <t>Staff meetings, Tuku rauemi engagement and stakeholder meetings</t>
  </si>
  <si>
    <t>LGNZ Conference</t>
  </si>
  <si>
    <t>Building relationships - meeting with Mark Hadlow, Panama Social</t>
  </si>
  <si>
    <t>NA</t>
  </si>
  <si>
    <t>Stakeholder and staff meetings</t>
  </si>
  <si>
    <t>Iwi, mana whenua, sector, community engagement meetings</t>
  </si>
  <si>
    <t>Powhiri for a Maori specialist advisor</t>
  </si>
  <si>
    <t>Tuku rauemi / regional partnership programme engagement</t>
  </si>
  <si>
    <t>Tuku raumeni evaluation panel meeting</t>
  </si>
  <si>
    <t>Operating change and staff meetings</t>
  </si>
  <si>
    <t>Waikato regional theatre opening</t>
  </si>
  <si>
    <t>Arts Council of New Zealand (Creative NZ)</t>
  </si>
  <si>
    <t>Acting Senior Manager Business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</si>
</sst>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_);[Red]\(&quot;$&quot;#,##0.00\)"/>
    <numFmt numFmtId="165" formatCode="_(&quot;$&quot;* #,##0.00_);_(&quot;$&quot;* \(#,##0.00\);_(&quot;$&quot;* &quot;-&quot;??_);_(@_)"/>
    <numFmt numFmtId="166" formatCode="&quot;$&quot;#,##0.00"/>
    <numFmt numFmtId="167" formatCode="[$-1409]d\ mmmm\ yyyy;@"/>
    <numFmt numFmtId="168" formatCode="&quot;$&quot;#,##0.00;[Red]&quot;$&quot;#,##0.00"/>
  </numFmts>
  <fonts count="4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8"/>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66">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167" fontId="15" fillId="10" borderId="3" xfId="0" applyNumberFormat="1" applyFont="1" applyFill="1" applyBorder="1" applyAlignment="1" applyProtection="1">
      <alignment horizontal="right" vertical="center"/>
      <protection locked="0"/>
    </xf>
    <xf numFmtId="0" fontId="18" fillId="2" borderId="0" xfId="0" applyFont="1" applyFill="1" applyAlignment="1">
      <alignment horizontal="right" vertical="center" wrapText="1" readingOrder="1"/>
    </xf>
    <xf numFmtId="0" fontId="20" fillId="3" borderId="0" xfId="0" applyFont="1" applyFill="1" applyAlignment="1">
      <alignment horizontal="right" vertical="center" wrapText="1"/>
    </xf>
    <xf numFmtId="167" fontId="15" fillId="10" borderId="3"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horizontal="right" vertical="center" wrapText="1"/>
      <protection locked="0"/>
    </xf>
    <xf numFmtId="0" fontId="20" fillId="3" borderId="0" xfId="0" applyFont="1" applyFill="1" applyAlignment="1">
      <alignment horizontal="right" vertical="center"/>
    </xf>
    <xf numFmtId="0" fontId="0" fillId="0" borderId="0" xfId="0" applyAlignment="1">
      <alignment horizontal="right" wrapText="1"/>
    </xf>
    <xf numFmtId="167" fontId="15" fillId="3" borderId="3" xfId="0" applyNumberFormat="1" applyFont="1" applyFill="1" applyBorder="1" applyAlignment="1" applyProtection="1">
      <alignment horizontal="right" vertical="center"/>
      <protection locked="0"/>
    </xf>
    <xf numFmtId="167" fontId="15" fillId="9" borderId="3" xfId="0" applyNumberFormat="1" applyFont="1" applyFill="1" applyBorder="1" applyAlignment="1" applyProtection="1">
      <alignment horizontal="right" vertical="center"/>
      <protection locked="0"/>
    </xf>
    <xf numFmtId="0" fontId="19" fillId="3" borderId="0" xfId="0" applyFont="1" applyFill="1" applyAlignment="1">
      <alignment horizontal="right" vertical="center" wrapText="1" readingOrder="1"/>
    </xf>
    <xf numFmtId="0" fontId="4" fillId="0" borderId="0" xfId="0" applyFont="1" applyAlignment="1">
      <alignment horizontal="right" wrapText="1"/>
    </xf>
    <xf numFmtId="0" fontId="0" fillId="0" borderId="0" xfId="0" applyAlignment="1">
      <alignment horizontal="right" vertical="center"/>
    </xf>
    <xf numFmtId="0" fontId="0" fillId="0" borderId="0" xfId="0" applyAlignment="1">
      <alignment horizontal="right" vertical="top" wrapText="1"/>
    </xf>
    <xf numFmtId="0" fontId="0" fillId="0" borderId="0" xfId="0" applyAlignment="1">
      <alignment horizontal="right"/>
    </xf>
    <xf numFmtId="168" fontId="0" fillId="0" borderId="0" xfId="0" applyNumberFormat="1" applyAlignment="1" applyProtection="1">
      <alignment wrapText="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33" fillId="3" borderId="6" xfId="0" applyFont="1" applyFill="1" applyBorder="1" applyAlignment="1">
      <alignment horizontal="center" vertical="center" wrapText="1"/>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topLeftCell="A15" zoomScale="69" zoomScaleNormal="70" workbookViewId="0">
      <selection activeCell="B14" sqref="B14"/>
    </sheetView>
  </sheetViews>
  <sheetFormatPr defaultColWidth="0" defaultRowHeight="13.8" zeroHeight="1" x14ac:dyDescent="0.25"/>
  <cols>
    <col min="1" max="1" width="219.33203125" style="40" customWidth="1"/>
    <col min="2" max="2" width="33.33203125" style="39" customWidth="1"/>
    <col min="3" max="16384" width="8.6640625" hidden="1"/>
  </cols>
  <sheetData>
    <row r="1" spans="1:2" ht="23.25" customHeight="1" x14ac:dyDescent="0.25">
      <c r="A1" s="38" t="s">
        <v>0</v>
      </c>
    </row>
    <row r="2" spans="1:2" s="126" customFormat="1" ht="23.25" customHeight="1" x14ac:dyDescent="0.25">
      <c r="A2" s="128" t="s">
        <v>1</v>
      </c>
      <c r="B2" s="125"/>
    </row>
    <row r="3" spans="1:2" ht="33" customHeight="1" x14ac:dyDescent="0.25">
      <c r="A3" s="127" t="s">
        <v>168</v>
      </c>
    </row>
    <row r="4" spans="1:2" ht="23.25" customHeight="1" x14ac:dyDescent="0.25">
      <c r="A4" s="123" t="s">
        <v>2</v>
      </c>
    </row>
    <row r="5" spans="1:2" ht="23.25" customHeight="1" x14ac:dyDescent="0.25">
      <c r="A5" s="41" t="s">
        <v>3</v>
      </c>
    </row>
    <row r="6" spans="1:2" ht="17.25" customHeight="1" x14ac:dyDescent="0.25">
      <c r="A6" s="42" t="s">
        <v>4</v>
      </c>
    </row>
    <row r="7" spans="1:2" ht="17.25" customHeight="1" x14ac:dyDescent="0.25">
      <c r="A7" s="42" t="s">
        <v>5</v>
      </c>
    </row>
    <row r="8" spans="1:2" ht="23.25" customHeight="1" x14ac:dyDescent="0.25">
      <c r="A8" s="41" t="s">
        <v>6</v>
      </c>
      <c r="B8" s="67" t="s">
        <v>7</v>
      </c>
    </row>
    <row r="9" spans="1:2" ht="17.25" customHeight="1" x14ac:dyDescent="0.25">
      <c r="A9" s="43" t="s">
        <v>8</v>
      </c>
    </row>
    <row r="10" spans="1:2" ht="17.25" customHeight="1" x14ac:dyDescent="0.25">
      <c r="A10" s="42" t="s">
        <v>9</v>
      </c>
    </row>
    <row r="11" spans="1:2" ht="17.25" customHeight="1" x14ac:dyDescent="0.25">
      <c r="A11" s="42" t="s">
        <v>10</v>
      </c>
    </row>
    <row r="12" spans="1:2" ht="17.25" customHeight="1" x14ac:dyDescent="0.25">
      <c r="A12" s="44" t="s">
        <v>11</v>
      </c>
    </row>
    <row r="13" spans="1:2" ht="17.25" customHeight="1" x14ac:dyDescent="0.25">
      <c r="A13" s="42" t="s">
        <v>12</v>
      </c>
    </row>
    <row r="14" spans="1:2" ht="23.25" customHeight="1" x14ac:dyDescent="0.25">
      <c r="A14" s="41" t="s">
        <v>13</v>
      </c>
    </row>
    <row r="15" spans="1:2" ht="17.25" customHeight="1" x14ac:dyDescent="0.25">
      <c r="A15" s="44" t="s">
        <v>14</v>
      </c>
    </row>
    <row r="16" spans="1:2" ht="17.25" customHeight="1" x14ac:dyDescent="0.25">
      <c r="A16" s="44" t="s">
        <v>15</v>
      </c>
    </row>
    <row r="17" spans="1:1" ht="17.25" customHeight="1" x14ac:dyDescent="0.25">
      <c r="A17" s="63" t="s">
        <v>16</v>
      </c>
    </row>
    <row r="18" spans="1:1" ht="23.25" customHeight="1" x14ac:dyDescent="0.25">
      <c r="A18" s="41" t="s">
        <v>17</v>
      </c>
    </row>
    <row r="19" spans="1:1" ht="17.25" customHeight="1" x14ac:dyDescent="0.25">
      <c r="A19" s="45" t="s">
        <v>18</v>
      </c>
    </row>
    <row r="20" spans="1:1" ht="23.25" customHeight="1" x14ac:dyDescent="0.25">
      <c r="A20" s="41" t="s">
        <v>19</v>
      </c>
    </row>
    <row r="21" spans="1:1" ht="17.25" customHeight="1" x14ac:dyDescent="0.25">
      <c r="A21" s="46" t="s">
        <v>20</v>
      </c>
    </row>
    <row r="22" spans="1:1" ht="32.25" customHeight="1" x14ac:dyDescent="0.25">
      <c r="A22" s="44" t="s">
        <v>21</v>
      </c>
    </row>
    <row r="23" spans="1:1" ht="17.25" customHeight="1" x14ac:dyDescent="0.25">
      <c r="A23" s="46" t="s">
        <v>22</v>
      </c>
    </row>
    <row r="24" spans="1:1" ht="32.25" customHeight="1" x14ac:dyDescent="0.25">
      <c r="A24" s="44" t="s">
        <v>23</v>
      </c>
    </row>
    <row r="25" spans="1:1" ht="17.25" customHeight="1" x14ac:dyDescent="0.25">
      <c r="A25" s="46" t="s">
        <v>24</v>
      </c>
    </row>
    <row r="26" spans="1:1" ht="17.25" customHeight="1" x14ac:dyDescent="0.25">
      <c r="A26" s="44" t="s">
        <v>25</v>
      </c>
    </row>
    <row r="27" spans="1:1" ht="17.25" customHeight="1" x14ac:dyDescent="0.25">
      <c r="A27" s="46" t="s">
        <v>26</v>
      </c>
    </row>
    <row r="28" spans="1:1" ht="32.25" customHeight="1" x14ac:dyDescent="0.25">
      <c r="A28" s="44" t="s">
        <v>27</v>
      </c>
    </row>
    <row r="29" spans="1:1" ht="32.25" customHeight="1" x14ac:dyDescent="0.25">
      <c r="A29" s="43" t="s">
        <v>28</v>
      </c>
    </row>
    <row r="30" spans="1:1" ht="17.25" customHeight="1" x14ac:dyDescent="0.25">
      <c r="A30" s="46" t="s">
        <v>29</v>
      </c>
    </row>
    <row r="31" spans="1:1" ht="32.25" customHeight="1" x14ac:dyDescent="0.25">
      <c r="A31" s="44" t="s">
        <v>30</v>
      </c>
    </row>
    <row r="32" spans="1:1" ht="32.25" customHeight="1" x14ac:dyDescent="0.25">
      <c r="A32" s="44" t="s">
        <v>31</v>
      </c>
    </row>
    <row r="33" spans="1:1" ht="32.25" customHeight="1" x14ac:dyDescent="0.25">
      <c r="A33" s="44" t="s">
        <v>32</v>
      </c>
    </row>
    <row r="34" spans="1:1" ht="22.5" customHeight="1" x14ac:dyDescent="0.25">
      <c r="A34" s="41" t="s">
        <v>33</v>
      </c>
    </row>
    <row r="35" spans="1:1" ht="17.25" customHeight="1" x14ac:dyDescent="0.25">
      <c r="A35" s="47" t="s">
        <v>167</v>
      </c>
    </row>
    <row r="36" spans="1:1" ht="17.25" customHeight="1" x14ac:dyDescent="0.25">
      <c r="A36" s="47" t="s">
        <v>34</v>
      </c>
    </row>
    <row r="37" spans="1:1" ht="17.25" customHeight="1" x14ac:dyDescent="0.25">
      <c r="A37" s="45" t="s">
        <v>35</v>
      </c>
    </row>
    <row r="38" spans="1:1" ht="32.25" customHeight="1" x14ac:dyDescent="0.25">
      <c r="A38" s="45" t="s">
        <v>36</v>
      </c>
    </row>
    <row r="39" spans="1:1" ht="32.25" customHeight="1" x14ac:dyDescent="0.25">
      <c r="A39" s="45" t="s">
        <v>37</v>
      </c>
    </row>
    <row r="40" spans="1:1" ht="17.25" customHeight="1" x14ac:dyDescent="0.25">
      <c r="A40" s="48" t="s">
        <v>38</v>
      </c>
    </row>
    <row r="41" spans="1:1" ht="32.25" customHeight="1" x14ac:dyDescent="0.25">
      <c r="A41" s="44" t="s">
        <v>39</v>
      </c>
    </row>
    <row r="42" spans="1:1" ht="32.25" customHeight="1" x14ac:dyDescent="0.25">
      <c r="A42" s="44" t="s">
        <v>40</v>
      </c>
    </row>
    <row r="43" spans="1:1" ht="32.25" customHeight="1" x14ac:dyDescent="0.25">
      <c r="A43" s="45" t="s">
        <v>41</v>
      </c>
    </row>
    <row r="44" spans="1:1" ht="17.25" customHeight="1" x14ac:dyDescent="0.25">
      <c r="A44" s="45" t="s">
        <v>42</v>
      </c>
    </row>
    <row r="45" spans="1:1" x14ac:dyDescent="0.25">
      <c r="A45" s="45" t="s">
        <v>43</v>
      </c>
    </row>
    <row r="46" spans="1:1" ht="22.5" customHeight="1" x14ac:dyDescent="0.25">
      <c r="A46" s="41" t="s">
        <v>44</v>
      </c>
    </row>
    <row r="47" spans="1:1" ht="17.25" customHeight="1" x14ac:dyDescent="0.25">
      <c r="A47" s="49" t="s">
        <v>45</v>
      </c>
    </row>
    <row r="48" spans="1:1" ht="17.25" customHeight="1" x14ac:dyDescent="0.25">
      <c r="A48" s="63" t="s">
        <v>46</v>
      </c>
    </row>
    <row r="49" spans="1:1" ht="17.25" customHeight="1" x14ac:dyDescent="0.25">
      <c r="A49" s="124"/>
    </row>
    <row r="50" spans="1:1" x14ac:dyDescent="0.25"/>
    <row r="52" spans="1:1" hidden="1" x14ac:dyDescent="0.25">
      <c r="A52" s="50"/>
    </row>
    <row r="53" spans="1:1" x14ac:dyDescent="0.25"/>
    <row r="54" spans="1:1" x14ac:dyDescent="0.25"/>
    <row r="55" spans="1:1" x14ac:dyDescent="0.25"/>
    <row r="56" spans="1:1" x14ac:dyDescent="0.25"/>
    <row r="57" spans="1:1" x14ac:dyDescent="0.25"/>
    <row r="58" spans="1:1" x14ac:dyDescent="0.25"/>
    <row r="59" spans="1:1" x14ac:dyDescent="0.25"/>
    <row r="60" spans="1:1" x14ac:dyDescent="0.25"/>
    <row r="61" spans="1:1" x14ac:dyDescent="0.25"/>
    <row r="62" spans="1:1" x14ac:dyDescent="0.25"/>
    <row r="63" spans="1:1" x14ac:dyDescent="0.25"/>
    <row r="64" spans="1:1" x14ac:dyDescent="0.25"/>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A9" sqref="A9:F9"/>
    </sheetView>
  </sheetViews>
  <sheetFormatPr defaultColWidth="0" defaultRowHeight="13.2" zeroHeight="1" x14ac:dyDescent="0.25"/>
  <cols>
    <col min="1" max="1" width="35.6640625" customWidth="1"/>
    <col min="2" max="2" width="21.5546875" customWidth="1"/>
    <col min="3" max="3" width="33.5546875" customWidth="1"/>
    <col min="4" max="4" width="4.44140625" customWidth="1"/>
    <col min="5" max="5" width="29" customWidth="1"/>
    <col min="6" max="6" width="19" customWidth="1"/>
    <col min="7" max="7" width="42" customWidth="1"/>
    <col min="8" max="11" width="9.109375" hidden="1" customWidth="1"/>
    <col min="12" max="16384" width="9.109375" hidden="1"/>
  </cols>
  <sheetData>
    <row r="1" spans="1:11" ht="26.25" customHeight="1" x14ac:dyDescent="0.25">
      <c r="A1" s="147" t="s">
        <v>47</v>
      </c>
      <c r="B1" s="147"/>
      <c r="C1" s="147"/>
      <c r="D1" s="147"/>
      <c r="E1" s="147"/>
      <c r="F1" s="147"/>
      <c r="G1" s="17"/>
      <c r="H1" s="17"/>
      <c r="I1" s="17"/>
      <c r="J1" s="17"/>
      <c r="K1" s="17"/>
    </row>
    <row r="2" spans="1:11" ht="21" customHeight="1" x14ac:dyDescent="0.25">
      <c r="A2" s="3" t="s">
        <v>48</v>
      </c>
      <c r="B2" s="148" t="s">
        <v>386</v>
      </c>
      <c r="C2" s="148"/>
      <c r="D2" s="148"/>
      <c r="E2" s="148"/>
      <c r="F2" s="148"/>
      <c r="G2" s="17"/>
      <c r="H2" s="17"/>
      <c r="I2" s="17"/>
      <c r="J2" s="17"/>
      <c r="K2" s="17"/>
    </row>
    <row r="3" spans="1:11" ht="15.6" x14ac:dyDescent="0.25">
      <c r="A3" s="3" t="s">
        <v>49</v>
      </c>
      <c r="B3" s="148" t="s">
        <v>169</v>
      </c>
      <c r="C3" s="148"/>
      <c r="D3" s="148"/>
      <c r="E3" s="148"/>
      <c r="F3" s="148"/>
      <c r="G3" s="17"/>
      <c r="H3" s="17"/>
      <c r="I3" s="17"/>
      <c r="J3" s="17"/>
      <c r="K3" s="17"/>
    </row>
    <row r="4" spans="1:11" ht="21" customHeight="1" x14ac:dyDescent="0.25">
      <c r="A4" s="3" t="s">
        <v>50</v>
      </c>
      <c r="B4" s="149">
        <v>45839</v>
      </c>
      <c r="C4" s="149"/>
      <c r="D4" s="149"/>
      <c r="E4" s="149"/>
      <c r="F4" s="149"/>
      <c r="G4" s="17"/>
      <c r="H4" s="17"/>
      <c r="I4" s="17"/>
      <c r="J4" s="17"/>
      <c r="K4" s="17"/>
    </row>
    <row r="5" spans="1:11" ht="21" customHeight="1" x14ac:dyDescent="0.25">
      <c r="A5" s="3" t="s">
        <v>51</v>
      </c>
      <c r="B5" s="149">
        <v>46203</v>
      </c>
      <c r="C5" s="149"/>
      <c r="D5" s="149"/>
      <c r="E5" s="149"/>
      <c r="F5" s="149"/>
      <c r="G5" s="17"/>
      <c r="H5" s="17"/>
      <c r="I5" s="17"/>
      <c r="J5" s="17"/>
      <c r="K5" s="17"/>
    </row>
    <row r="6" spans="1:11" ht="21" customHeight="1" x14ac:dyDescent="0.25">
      <c r="A6" s="3" t="s">
        <v>52</v>
      </c>
      <c r="B6" s="146" t="str">
        <f>IF(AND(Travel!B7&lt;&gt;A30,Hospitality!B7&lt;&gt;A30,'All other expenses'!B7&lt;&gt;A30,'Gifts and benefits'!B7&lt;&gt;A30),A31,IF(AND(Travel!B7=A30,Hospitality!B7=A30,'All other expenses'!B7=A30,'Gifts and benefits'!B7=A30),A33,A32))</f>
        <v>Data and totals checked on all sheets</v>
      </c>
      <c r="C6" s="146"/>
      <c r="D6" s="146"/>
      <c r="E6" s="146"/>
      <c r="F6" s="146"/>
      <c r="G6" s="23"/>
      <c r="H6" s="17"/>
      <c r="I6" s="17"/>
      <c r="J6" s="17"/>
      <c r="K6" s="17"/>
    </row>
    <row r="7" spans="1:11" ht="31.2" x14ac:dyDescent="0.25">
      <c r="A7" s="3" t="s">
        <v>53</v>
      </c>
      <c r="B7" s="145" t="s">
        <v>86</v>
      </c>
      <c r="C7" s="145"/>
      <c r="D7" s="145"/>
      <c r="E7" s="145"/>
      <c r="F7" s="145"/>
      <c r="G7" s="23"/>
      <c r="H7" s="17"/>
      <c r="I7" s="17"/>
      <c r="J7" s="17"/>
      <c r="K7" s="17"/>
    </row>
    <row r="8" spans="1:11" ht="25.5" customHeight="1" x14ac:dyDescent="0.25">
      <c r="A8" s="3" t="s">
        <v>55</v>
      </c>
      <c r="B8" s="145" t="s">
        <v>387</v>
      </c>
      <c r="C8" s="145"/>
      <c r="D8" s="145"/>
      <c r="E8" s="145"/>
      <c r="F8" s="145"/>
      <c r="G8" s="23"/>
      <c r="H8" s="17"/>
      <c r="I8" s="17"/>
      <c r="J8" s="17"/>
      <c r="K8" s="17"/>
    </row>
    <row r="9" spans="1:11" ht="66.75" customHeight="1" x14ac:dyDescent="0.25">
      <c r="A9" s="144" t="s">
        <v>57</v>
      </c>
      <c r="B9" s="144"/>
      <c r="C9" s="144"/>
      <c r="D9" s="144"/>
      <c r="E9" s="144"/>
      <c r="F9" s="144"/>
      <c r="G9" s="23"/>
      <c r="H9" s="17"/>
      <c r="I9" s="17"/>
      <c r="J9" s="17"/>
      <c r="K9" s="17"/>
    </row>
    <row r="10" spans="1:11" s="90" customFormat="1" ht="36" customHeight="1" x14ac:dyDescent="0.25">
      <c r="A10" s="84" t="s">
        <v>58</v>
      </c>
      <c r="B10" s="85" t="s">
        <v>59</v>
      </c>
      <c r="C10" s="85" t="s">
        <v>60</v>
      </c>
      <c r="D10" s="86"/>
      <c r="E10" s="87" t="s">
        <v>29</v>
      </c>
      <c r="F10" s="88" t="s">
        <v>61</v>
      </c>
      <c r="G10" s="89"/>
      <c r="H10" s="89"/>
      <c r="I10" s="89"/>
      <c r="J10" s="89"/>
      <c r="K10" s="89"/>
    </row>
    <row r="11" spans="1:11" ht="27.75" customHeight="1" x14ac:dyDescent="0.3">
      <c r="A11" s="8" t="s">
        <v>62</v>
      </c>
      <c r="B11" s="57">
        <f>B15+B16+B17</f>
        <v>28082.349999999995</v>
      </c>
      <c r="C11" s="64" t="str">
        <f>IF(Travel!B6="",A34,Travel!B6)</f>
        <v>Figures exclude GST</v>
      </c>
      <c r="D11" s="6"/>
      <c r="E11" s="8" t="s">
        <v>63</v>
      </c>
      <c r="F11" s="32">
        <f>'Gifts and benefits'!C93</f>
        <v>79</v>
      </c>
      <c r="G11" s="29"/>
      <c r="H11" s="29"/>
      <c r="I11" s="29"/>
      <c r="J11" s="29"/>
      <c r="K11" s="29"/>
    </row>
    <row r="12" spans="1:11" ht="27.75" customHeight="1" x14ac:dyDescent="0.3">
      <c r="A12" s="8" t="s">
        <v>24</v>
      </c>
      <c r="B12" s="57">
        <f>Hospitality!B25</f>
        <v>173.04</v>
      </c>
      <c r="C12" s="64" t="str">
        <f>IF(Hospitality!B6="",A34,Hospitality!B6)</f>
        <v>Figures exclude GST</v>
      </c>
      <c r="D12" s="6"/>
      <c r="E12" s="8" t="s">
        <v>64</v>
      </c>
      <c r="F12" s="32">
        <f>'Gifts and benefits'!C94</f>
        <v>27</v>
      </c>
      <c r="G12" s="29"/>
      <c r="H12" s="29"/>
      <c r="I12" s="29"/>
      <c r="J12" s="29"/>
      <c r="K12" s="29"/>
    </row>
    <row r="13" spans="1:11" ht="27.75" customHeight="1" x14ac:dyDescent="0.25">
      <c r="A13" s="8" t="s">
        <v>65</v>
      </c>
      <c r="B13" s="57">
        <f>'All other expenses'!B25</f>
        <v>0</v>
      </c>
      <c r="C13" s="64" t="str">
        <f>IF('All other expenses'!B6="",A34,'All other expenses'!B6)</f>
        <v>Figures exclude GST</v>
      </c>
      <c r="D13" s="6"/>
      <c r="E13" s="8" t="s">
        <v>66</v>
      </c>
      <c r="F13" s="32">
        <f>'Gifts and benefits'!C95</f>
        <v>52</v>
      </c>
      <c r="G13" s="17"/>
      <c r="H13" s="17"/>
      <c r="I13" s="17"/>
      <c r="J13" s="17"/>
      <c r="K13" s="17"/>
    </row>
    <row r="14" spans="1:11" ht="12.75" customHeight="1" x14ac:dyDescent="0.25">
      <c r="A14" s="7"/>
      <c r="B14" s="58"/>
      <c r="C14" s="65"/>
      <c r="D14" s="33"/>
      <c r="E14" s="6"/>
      <c r="F14" s="34"/>
      <c r="G14" s="17"/>
      <c r="H14" s="17"/>
      <c r="I14" s="17"/>
      <c r="J14" s="17"/>
      <c r="K14" s="17"/>
    </row>
    <row r="15" spans="1:11" ht="27.75" customHeight="1" x14ac:dyDescent="0.25">
      <c r="A15" s="9" t="s">
        <v>67</v>
      </c>
      <c r="B15" s="59">
        <f>Travel!B22</f>
        <v>0</v>
      </c>
      <c r="C15" s="66" t="str">
        <f>C11</f>
        <v>Figures exclude GST</v>
      </c>
      <c r="D15" s="6"/>
      <c r="E15" s="6"/>
      <c r="F15" s="34"/>
      <c r="G15" s="17"/>
      <c r="H15" s="17"/>
      <c r="I15" s="17"/>
      <c r="J15" s="17"/>
      <c r="K15" s="17"/>
    </row>
    <row r="16" spans="1:11" ht="27.75" customHeight="1" x14ac:dyDescent="0.25">
      <c r="A16" s="9" t="s">
        <v>68</v>
      </c>
      <c r="B16" s="59">
        <f>Travel!B137</f>
        <v>28004.829999999994</v>
      </c>
      <c r="C16" s="66" t="str">
        <f>C11</f>
        <v>Figures exclude GST</v>
      </c>
      <c r="D16" s="35"/>
      <c r="E16" s="6"/>
      <c r="F16" s="36"/>
      <c r="G16" s="17"/>
      <c r="H16" s="17"/>
      <c r="I16" s="17"/>
      <c r="J16" s="17"/>
      <c r="K16" s="17"/>
    </row>
    <row r="17" spans="1:11" ht="27.75" customHeight="1" x14ac:dyDescent="0.25">
      <c r="A17" s="9" t="s">
        <v>69</v>
      </c>
      <c r="B17" s="59">
        <f>Travel!B151</f>
        <v>77.52</v>
      </c>
      <c r="C17" s="66" t="str">
        <f>C11</f>
        <v>Figures exclude GST</v>
      </c>
      <c r="D17" s="6"/>
      <c r="E17" s="6"/>
      <c r="F17" s="36"/>
      <c r="G17" s="17"/>
      <c r="H17" s="17"/>
      <c r="I17" s="17"/>
      <c r="J17" s="17"/>
      <c r="K17" s="17"/>
    </row>
    <row r="18" spans="1:11" ht="27.75" customHeight="1" x14ac:dyDescent="0.25">
      <c r="A18" s="17"/>
      <c r="B18" s="19"/>
      <c r="C18" s="17"/>
      <c r="D18" s="5"/>
      <c r="E18" s="5"/>
      <c r="F18" s="28"/>
      <c r="G18" s="17"/>
      <c r="H18" s="17"/>
      <c r="I18" s="17"/>
      <c r="J18" s="17"/>
      <c r="K18" s="17"/>
    </row>
    <row r="19" spans="1:11" x14ac:dyDescent="0.25">
      <c r="A19" s="18" t="s">
        <v>70</v>
      </c>
      <c r="B19" s="19"/>
      <c r="C19" s="17"/>
      <c r="D19" s="17"/>
      <c r="E19" s="17"/>
      <c r="F19" s="17"/>
      <c r="G19" s="17"/>
      <c r="H19" s="17"/>
      <c r="I19" s="17"/>
      <c r="J19" s="17"/>
      <c r="K19" s="17"/>
    </row>
    <row r="20" spans="1:11" x14ac:dyDescent="0.25">
      <c r="A20" s="20" t="s">
        <v>71</v>
      </c>
      <c r="D20" s="17"/>
      <c r="E20" s="17"/>
      <c r="F20" s="17"/>
      <c r="G20" s="17"/>
      <c r="H20" s="17"/>
      <c r="I20" s="17"/>
      <c r="J20" s="17"/>
      <c r="K20" s="17"/>
    </row>
    <row r="21" spans="1:11" ht="12.6" customHeight="1" x14ac:dyDescent="0.25">
      <c r="A21" s="20" t="s">
        <v>72</v>
      </c>
      <c r="D21" s="17"/>
      <c r="E21" s="17"/>
      <c r="F21" s="17"/>
      <c r="G21" s="17"/>
      <c r="H21" s="17"/>
      <c r="I21" s="17"/>
      <c r="J21" s="17"/>
      <c r="K21" s="17"/>
    </row>
    <row r="22" spans="1:11" ht="12.6" customHeight="1" x14ac:dyDescent="0.25">
      <c r="A22" s="20" t="s">
        <v>73</v>
      </c>
      <c r="D22" s="17"/>
      <c r="E22" s="17"/>
      <c r="F22" s="17"/>
      <c r="G22" s="17"/>
      <c r="H22" s="17"/>
      <c r="I22" s="17"/>
      <c r="J22" s="17"/>
      <c r="K22" s="17"/>
    </row>
    <row r="23" spans="1:11" ht="12.6" customHeight="1" x14ac:dyDescent="0.25">
      <c r="A23" s="20" t="s">
        <v>74</v>
      </c>
      <c r="D23" s="17"/>
      <c r="E23" s="17"/>
      <c r="F23" s="17"/>
      <c r="G23" s="17"/>
      <c r="H23" s="17"/>
      <c r="I23" s="17"/>
      <c r="J23" s="17"/>
      <c r="K23" s="17"/>
    </row>
    <row r="24" spans="1:11" x14ac:dyDescent="0.25">
      <c r="A24" s="26"/>
      <c r="B24" s="17"/>
      <c r="C24" s="17"/>
      <c r="D24" s="17"/>
      <c r="E24" s="17"/>
      <c r="F24" s="17"/>
      <c r="G24" s="17"/>
      <c r="H24" s="17"/>
      <c r="I24" s="17"/>
      <c r="J24" s="17"/>
      <c r="K24" s="17"/>
    </row>
    <row r="25" spans="1:11" hidden="1" x14ac:dyDescent="0.25">
      <c r="A25" s="12" t="s">
        <v>75</v>
      </c>
      <c r="B25" s="13"/>
      <c r="C25" s="13"/>
      <c r="D25" s="13"/>
      <c r="E25" s="13"/>
      <c r="F25" s="13"/>
      <c r="G25" s="17"/>
      <c r="H25" s="17"/>
      <c r="I25" s="17"/>
      <c r="J25" s="17"/>
      <c r="K25" s="17"/>
    </row>
    <row r="26" spans="1:11" ht="12.75" hidden="1" customHeight="1" x14ac:dyDescent="0.25">
      <c r="A26" s="11" t="s">
        <v>76</v>
      </c>
      <c r="B26" s="4"/>
      <c r="C26" s="4"/>
      <c r="D26" s="11"/>
      <c r="E26" s="11"/>
      <c r="F26" s="11"/>
      <c r="G26" s="17"/>
      <c r="H26" s="17"/>
      <c r="I26" s="17"/>
      <c r="J26" s="17"/>
      <c r="K26" s="17"/>
    </row>
    <row r="27" spans="1:11" hidden="1" x14ac:dyDescent="0.25">
      <c r="A27" s="10" t="s">
        <v>77</v>
      </c>
      <c r="B27" s="10"/>
      <c r="C27" s="10"/>
      <c r="D27" s="10"/>
      <c r="E27" s="10"/>
      <c r="F27" s="10"/>
      <c r="G27" s="17"/>
      <c r="H27" s="17"/>
      <c r="I27" s="17"/>
      <c r="J27" s="17"/>
      <c r="K27" s="17"/>
    </row>
    <row r="28" spans="1:11" hidden="1" x14ac:dyDescent="0.25">
      <c r="A28" s="10" t="s">
        <v>78</v>
      </c>
      <c r="B28" s="10"/>
      <c r="C28" s="10"/>
      <c r="D28" s="10"/>
      <c r="E28" s="10"/>
      <c r="F28" s="10"/>
      <c r="G28" s="17"/>
      <c r="H28" s="17"/>
      <c r="I28" s="17"/>
      <c r="J28" s="17"/>
      <c r="K28" s="17"/>
    </row>
    <row r="29" spans="1:11" hidden="1" x14ac:dyDescent="0.25">
      <c r="A29" s="11" t="s">
        <v>79</v>
      </c>
      <c r="B29" s="11"/>
      <c r="C29" s="11"/>
      <c r="D29" s="11"/>
      <c r="E29" s="11"/>
      <c r="F29" s="11"/>
      <c r="G29" s="17"/>
      <c r="H29" s="17"/>
      <c r="I29" s="17"/>
      <c r="J29" s="17"/>
      <c r="K29" s="17"/>
    </row>
    <row r="30" spans="1:11" hidden="1" x14ac:dyDescent="0.25">
      <c r="A30" s="11" t="s">
        <v>80</v>
      </c>
      <c r="B30" s="11"/>
      <c r="C30" s="11"/>
      <c r="D30" s="11"/>
      <c r="E30" s="11"/>
      <c r="F30" s="11"/>
      <c r="G30" s="17"/>
      <c r="H30" s="17"/>
      <c r="I30" s="17"/>
      <c r="J30" s="17"/>
      <c r="K30" s="17"/>
    </row>
    <row r="31" spans="1:11" hidden="1" x14ac:dyDescent="0.25">
      <c r="A31" s="10" t="s">
        <v>81</v>
      </c>
      <c r="B31" s="10"/>
      <c r="C31" s="10"/>
      <c r="D31" s="10"/>
      <c r="E31" s="10"/>
      <c r="F31" s="10"/>
      <c r="G31" s="17"/>
      <c r="H31" s="17"/>
      <c r="I31" s="17"/>
      <c r="J31" s="17"/>
      <c r="K31" s="17"/>
    </row>
    <row r="32" spans="1:11" hidden="1" x14ac:dyDescent="0.25">
      <c r="A32" s="10" t="s">
        <v>82</v>
      </c>
      <c r="B32" s="10"/>
      <c r="C32" s="10"/>
      <c r="D32" s="10"/>
      <c r="E32" s="10"/>
      <c r="F32" s="10"/>
      <c r="G32" s="17"/>
      <c r="H32" s="17"/>
      <c r="I32" s="17"/>
      <c r="J32" s="17"/>
      <c r="K32" s="17"/>
    </row>
    <row r="33" spans="1:11" hidden="1" x14ac:dyDescent="0.25">
      <c r="A33" s="10" t="s">
        <v>83</v>
      </c>
      <c r="B33" s="10"/>
      <c r="C33" s="10"/>
      <c r="D33" s="10"/>
      <c r="E33" s="10"/>
      <c r="F33" s="10"/>
      <c r="G33" s="17"/>
      <c r="H33" s="17"/>
      <c r="I33" s="17"/>
      <c r="J33" s="17"/>
      <c r="K33" s="17"/>
    </row>
    <row r="34" spans="1:11" hidden="1" x14ac:dyDescent="0.25">
      <c r="A34" s="11" t="s">
        <v>84</v>
      </c>
      <c r="B34" s="11"/>
      <c r="C34" s="11"/>
      <c r="D34" s="11"/>
      <c r="E34" s="11"/>
      <c r="F34" s="11"/>
      <c r="G34" s="17"/>
      <c r="H34" s="17"/>
      <c r="I34" s="17"/>
      <c r="J34" s="17"/>
      <c r="K34" s="17"/>
    </row>
    <row r="35" spans="1:11" hidden="1" x14ac:dyDescent="0.25">
      <c r="A35" s="11" t="s">
        <v>85</v>
      </c>
      <c r="B35" s="11"/>
      <c r="C35" s="11"/>
      <c r="D35" s="11"/>
      <c r="E35" s="11"/>
      <c r="F35" s="11"/>
      <c r="G35" s="17"/>
      <c r="H35" s="17"/>
      <c r="I35" s="17"/>
      <c r="J35" s="17"/>
      <c r="K35" s="17"/>
    </row>
    <row r="36" spans="1:11" hidden="1" x14ac:dyDescent="0.25">
      <c r="A36" s="10" t="s">
        <v>54</v>
      </c>
      <c r="B36" s="61"/>
      <c r="C36" s="61"/>
      <c r="D36" s="61"/>
      <c r="E36" s="61"/>
      <c r="F36" s="61"/>
      <c r="G36" s="17"/>
      <c r="H36" s="17"/>
      <c r="I36" s="17"/>
      <c r="J36" s="17"/>
      <c r="K36" s="17"/>
    </row>
    <row r="37" spans="1:11" hidden="1" x14ac:dyDescent="0.25">
      <c r="A37" s="10" t="s">
        <v>86</v>
      </c>
      <c r="B37" s="61"/>
      <c r="C37" s="61"/>
      <c r="D37" s="61"/>
      <c r="E37" s="61"/>
      <c r="F37" s="61"/>
      <c r="G37" s="17"/>
      <c r="H37" s="17"/>
      <c r="I37" s="17"/>
      <c r="J37" s="17"/>
      <c r="K37" s="17"/>
    </row>
    <row r="38" spans="1:11" hidden="1" x14ac:dyDescent="0.25">
      <c r="A38" s="10" t="s">
        <v>56</v>
      </c>
      <c r="B38" s="61"/>
      <c r="C38" s="61"/>
      <c r="D38" s="61"/>
      <c r="E38" s="61"/>
      <c r="F38" s="61"/>
      <c r="G38" s="17"/>
      <c r="H38" s="17"/>
      <c r="I38" s="17"/>
      <c r="J38" s="17"/>
      <c r="K38" s="17"/>
    </row>
    <row r="39" spans="1:11" hidden="1" x14ac:dyDescent="0.25">
      <c r="A39" s="11" t="s">
        <v>87</v>
      </c>
      <c r="B39" s="4"/>
      <c r="C39" s="4"/>
      <c r="D39" s="4"/>
      <c r="E39" s="4"/>
      <c r="F39" s="4"/>
      <c r="G39" s="17"/>
      <c r="H39" s="17"/>
      <c r="I39" s="17"/>
      <c r="J39" s="17"/>
      <c r="K39" s="17"/>
    </row>
    <row r="40" spans="1:11" hidden="1" x14ac:dyDescent="0.25">
      <c r="A40" s="4" t="s">
        <v>88</v>
      </c>
      <c r="B40" s="4"/>
      <c r="C40" s="4"/>
      <c r="D40" s="4"/>
      <c r="E40" s="4"/>
      <c r="F40" s="4"/>
      <c r="G40" s="17"/>
      <c r="H40" s="17"/>
      <c r="I40" s="17"/>
      <c r="J40" s="17"/>
      <c r="K40" s="17"/>
    </row>
    <row r="41" spans="1:11" hidden="1" x14ac:dyDescent="0.25">
      <c r="A41" s="4" t="s">
        <v>89</v>
      </c>
      <c r="B41" s="4"/>
      <c r="C41" s="4"/>
      <c r="D41" s="4"/>
      <c r="E41" s="4"/>
      <c r="F41" s="4"/>
      <c r="G41" s="17"/>
      <c r="H41" s="17"/>
      <c r="I41" s="17"/>
      <c r="J41" s="17"/>
      <c r="K41" s="17"/>
    </row>
    <row r="42" spans="1:11" hidden="1" x14ac:dyDescent="0.25">
      <c r="A42" s="4" t="s">
        <v>90</v>
      </c>
      <c r="B42" s="4"/>
      <c r="C42" s="4"/>
      <c r="D42" s="4"/>
      <c r="E42" s="4"/>
      <c r="F42" s="4"/>
      <c r="G42" s="17"/>
      <c r="H42" s="17"/>
      <c r="I42" s="17"/>
      <c r="J42" s="17"/>
      <c r="K42" s="17"/>
    </row>
    <row r="43" spans="1:11" hidden="1" x14ac:dyDescent="0.25">
      <c r="A43" s="4" t="s">
        <v>91</v>
      </c>
      <c r="B43" s="4"/>
      <c r="C43" s="4"/>
      <c r="D43" s="4"/>
      <c r="E43" s="4"/>
      <c r="F43" s="4"/>
      <c r="G43" s="17"/>
      <c r="H43" s="17"/>
      <c r="I43" s="17"/>
      <c r="J43" s="17"/>
      <c r="K43" s="17"/>
    </row>
    <row r="44" spans="1:11" hidden="1" x14ac:dyDescent="0.25">
      <c r="A44" s="4" t="s">
        <v>92</v>
      </c>
      <c r="B44" s="4"/>
      <c r="C44" s="4"/>
      <c r="D44" s="4"/>
      <c r="E44" s="4"/>
      <c r="F44" s="4"/>
      <c r="G44" s="17"/>
      <c r="H44" s="17"/>
      <c r="I44" s="17"/>
      <c r="J44" s="17"/>
      <c r="K44" s="17"/>
    </row>
    <row r="45" spans="1:11" hidden="1" x14ac:dyDescent="0.25">
      <c r="A45" s="62" t="s">
        <v>93</v>
      </c>
      <c r="B45" s="61"/>
      <c r="C45" s="61"/>
      <c r="D45" s="61"/>
      <c r="E45" s="61"/>
      <c r="F45" s="61"/>
      <c r="G45" s="17"/>
      <c r="H45" s="17"/>
      <c r="I45" s="17"/>
      <c r="J45" s="17"/>
      <c r="K45" s="17"/>
    </row>
    <row r="46" spans="1:11" hidden="1" x14ac:dyDescent="0.25">
      <c r="A46" s="61" t="s">
        <v>94</v>
      </c>
      <c r="B46" s="61"/>
      <c r="C46" s="61"/>
      <c r="D46" s="61"/>
      <c r="E46" s="61"/>
      <c r="F46" s="61"/>
      <c r="G46" s="17"/>
      <c r="H46" s="17"/>
      <c r="I46" s="17"/>
      <c r="J46" s="17"/>
      <c r="K46" s="17"/>
    </row>
    <row r="47" spans="1:11" hidden="1" x14ac:dyDescent="0.25">
      <c r="A47" s="37">
        <v>-20000</v>
      </c>
      <c r="B47" s="4"/>
      <c r="C47" s="4"/>
      <c r="D47" s="4"/>
      <c r="E47" s="4"/>
      <c r="F47" s="4"/>
      <c r="G47" s="17"/>
      <c r="H47" s="17"/>
      <c r="I47" s="17"/>
      <c r="J47" s="17"/>
      <c r="K47" s="17"/>
    </row>
    <row r="48" spans="1:11" ht="26.4" hidden="1" x14ac:dyDescent="0.25">
      <c r="A48" s="78" t="s">
        <v>95</v>
      </c>
      <c r="B48" s="61"/>
      <c r="C48" s="61"/>
      <c r="D48" s="61"/>
      <c r="E48" s="61"/>
      <c r="F48" s="61"/>
      <c r="G48" s="17"/>
      <c r="H48" s="17"/>
      <c r="I48" s="17"/>
      <c r="J48" s="17"/>
      <c r="K48" s="17"/>
    </row>
    <row r="49" spans="1:11" ht="26.4" hidden="1" x14ac:dyDescent="0.25">
      <c r="A49" s="78" t="s">
        <v>96</v>
      </c>
      <c r="B49" s="61"/>
      <c r="C49" s="61"/>
      <c r="D49" s="61"/>
      <c r="E49" s="61"/>
      <c r="F49" s="61"/>
      <c r="G49" s="17"/>
      <c r="H49" s="17"/>
      <c r="I49" s="17"/>
      <c r="J49" s="17"/>
      <c r="K49" s="17"/>
    </row>
    <row r="50" spans="1:11" ht="26.4" hidden="1" x14ac:dyDescent="0.25">
      <c r="A50" s="79" t="s">
        <v>97</v>
      </c>
      <c r="B50" s="4"/>
      <c r="C50" s="4"/>
      <c r="D50" s="4"/>
      <c r="E50" s="4"/>
      <c r="F50" s="4"/>
      <c r="G50" s="17"/>
      <c r="H50" s="17"/>
      <c r="I50" s="17"/>
      <c r="J50" s="17"/>
      <c r="K50" s="17"/>
    </row>
    <row r="51" spans="1:11" ht="26.4" hidden="1" x14ac:dyDescent="0.25">
      <c r="A51" s="79" t="s">
        <v>98</v>
      </c>
      <c r="B51" s="4"/>
      <c r="C51" s="4"/>
      <c r="D51" s="4"/>
      <c r="E51" s="4"/>
      <c r="F51" s="4"/>
      <c r="G51" s="17"/>
      <c r="H51" s="17"/>
      <c r="I51" s="17"/>
      <c r="J51" s="17"/>
      <c r="K51" s="17"/>
    </row>
    <row r="52" spans="1:11" ht="39.6" hidden="1" x14ac:dyDescent="0.25">
      <c r="A52" s="79" t="s">
        <v>99</v>
      </c>
      <c r="B52" s="71"/>
      <c r="C52" s="71"/>
      <c r="D52" s="71"/>
      <c r="E52" s="11"/>
      <c r="F52" s="11"/>
      <c r="G52" s="17"/>
      <c r="H52" s="17"/>
      <c r="I52" s="17"/>
      <c r="J52" s="17"/>
      <c r="K52" s="17"/>
    </row>
    <row r="53" spans="1:11" hidden="1" x14ac:dyDescent="0.25">
      <c r="A53" s="76" t="s">
        <v>100</v>
      </c>
      <c r="B53" s="70"/>
      <c r="C53" s="70"/>
      <c r="D53" s="70"/>
      <c r="E53" s="10"/>
      <c r="F53" s="10" t="b">
        <v>1</v>
      </c>
      <c r="G53" s="17"/>
      <c r="H53" s="17"/>
      <c r="I53" s="17"/>
      <c r="J53" s="17"/>
      <c r="K53" s="17"/>
    </row>
    <row r="54" spans="1:11" hidden="1" x14ac:dyDescent="0.25">
      <c r="A54" s="77" t="s">
        <v>101</v>
      </c>
      <c r="B54" s="76"/>
      <c r="C54" s="76"/>
      <c r="D54" s="76"/>
      <c r="E54" s="10"/>
      <c r="F54" s="10" t="b">
        <v>0</v>
      </c>
      <c r="G54" s="17"/>
      <c r="H54" s="17"/>
      <c r="I54" s="17"/>
      <c r="J54" s="17"/>
      <c r="K54" s="17"/>
    </row>
    <row r="55" spans="1:11" hidden="1" x14ac:dyDescent="0.25">
      <c r="A55" s="80"/>
      <c r="B55" s="72">
        <f>COUNT(Travel!B12:B21)</f>
        <v>0</v>
      </c>
      <c r="C55" s="72"/>
      <c r="D55" s="72">
        <f>COUNTIF(Travel!D12:D21,"*")</f>
        <v>0</v>
      </c>
      <c r="E55" s="73"/>
      <c r="F55" s="73" t="b">
        <f>MIN(B55,D55)=MAX(B55,D55)</f>
        <v>1</v>
      </c>
      <c r="G55" s="17"/>
      <c r="H55" s="17"/>
      <c r="I55" s="17"/>
      <c r="J55" s="17"/>
      <c r="K55" s="17"/>
    </row>
    <row r="56" spans="1:11" hidden="1" x14ac:dyDescent="0.25">
      <c r="A56" s="80" t="s">
        <v>102</v>
      </c>
      <c r="B56" s="72">
        <f>COUNT(Travel!B26:B136)</f>
        <v>109</v>
      </c>
      <c r="C56" s="72"/>
      <c r="D56" s="72">
        <f>COUNTIF(Travel!D26:D136,"*")</f>
        <v>109</v>
      </c>
      <c r="E56" s="73"/>
      <c r="F56" s="73" t="b">
        <f>MIN(B56,D56)=MAX(B56,D56)</f>
        <v>1</v>
      </c>
    </row>
    <row r="57" spans="1:11" hidden="1" x14ac:dyDescent="0.25">
      <c r="A57" s="81"/>
      <c r="B57" s="72">
        <f>COUNT(Travel!B141:B150)</f>
        <v>2</v>
      </c>
      <c r="C57" s="72"/>
      <c r="D57" s="72">
        <f>COUNTIF(Travel!D141:D150,"*")</f>
        <v>2</v>
      </c>
      <c r="E57" s="73"/>
      <c r="F57" s="73" t="b">
        <f>MIN(B57,D57)=MAX(B57,D57)</f>
        <v>1</v>
      </c>
    </row>
    <row r="58" spans="1:11" hidden="1" x14ac:dyDescent="0.25">
      <c r="A58" s="82" t="s">
        <v>103</v>
      </c>
      <c r="B58" s="74">
        <f>COUNT(Hospitality!B11:B24)</f>
        <v>5</v>
      </c>
      <c r="C58" s="74"/>
      <c r="D58" s="74">
        <f>COUNTIF(Hospitality!D11:D24,"*")</f>
        <v>5</v>
      </c>
      <c r="E58" s="75"/>
      <c r="F58" s="75" t="b">
        <f>MIN(B58,D58)=MAX(B58,D58)</f>
        <v>1</v>
      </c>
    </row>
    <row r="59" spans="1:11" hidden="1" x14ac:dyDescent="0.25">
      <c r="A59" s="83" t="s">
        <v>104</v>
      </c>
      <c r="B59" s="73">
        <f>COUNT('All other expenses'!B11:B24)</f>
        <v>0</v>
      </c>
      <c r="C59" s="73"/>
      <c r="D59" s="73">
        <f>COUNTIF('All other expenses'!D11:D24,"*")</f>
        <v>0</v>
      </c>
      <c r="E59" s="73"/>
      <c r="F59" s="73" t="b">
        <f>MIN(B59,D59)=MAX(B59,D59)</f>
        <v>1</v>
      </c>
    </row>
    <row r="60" spans="1:11" hidden="1" x14ac:dyDescent="0.25">
      <c r="A60" s="82" t="s">
        <v>105</v>
      </c>
      <c r="B60" s="74">
        <f>COUNTIF('Gifts and benefits'!B11:B92,"*")</f>
        <v>79</v>
      </c>
      <c r="C60" s="74">
        <f>COUNTIF('Gifts and benefits'!C11:C92,"*")</f>
        <v>79</v>
      </c>
      <c r="D60" s="74"/>
      <c r="E60" s="74">
        <f>COUNTA('Gifts and benefits'!E11:E92)</f>
        <v>79</v>
      </c>
      <c r="F60" s="75"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77"/>
  <sheetViews>
    <sheetView topLeftCell="A72" zoomScaleNormal="100" workbookViewId="0">
      <selection activeCell="C92" sqref="C92"/>
    </sheetView>
  </sheetViews>
  <sheetFormatPr defaultColWidth="0" defaultRowHeight="13.2" zeroHeight="1" x14ac:dyDescent="0.25"/>
  <cols>
    <col min="1" max="1" width="35.6640625" style="142" customWidth="1"/>
    <col min="2" max="2" width="14.33203125" customWidth="1"/>
    <col min="3" max="3" width="71.44140625" customWidth="1"/>
    <col min="4" max="4" width="50" customWidth="1"/>
    <col min="5" max="5" width="21.44140625" customWidth="1"/>
    <col min="6" max="6" width="37.5546875" customWidth="1"/>
    <col min="7" max="9" width="9.109375" hidden="1" customWidth="1"/>
    <col min="10" max="13" width="0" hidden="1" customWidth="1"/>
    <col min="14" max="16384" width="9.109375" hidden="1"/>
  </cols>
  <sheetData>
    <row r="1" spans="1:6" ht="26.25" customHeight="1" x14ac:dyDescent="0.25">
      <c r="A1" s="152" t="s">
        <v>106</v>
      </c>
      <c r="B1" s="152"/>
      <c r="C1" s="152"/>
      <c r="D1" s="152"/>
      <c r="E1" s="152"/>
      <c r="F1" s="17"/>
    </row>
    <row r="2" spans="1:6" ht="21" customHeight="1" x14ac:dyDescent="0.25">
      <c r="A2" s="130" t="s">
        <v>107</v>
      </c>
      <c r="B2" s="150" t="str">
        <f>'Summary and sign-off'!B2:F2</f>
        <v>Arts Council of New Zealand (Creative NZ)</v>
      </c>
      <c r="C2" s="150"/>
      <c r="D2" s="150"/>
      <c r="E2" s="150"/>
      <c r="F2" s="17"/>
    </row>
    <row r="3" spans="1:6" ht="31.2" x14ac:dyDescent="0.25">
      <c r="A3" s="130" t="s">
        <v>108</v>
      </c>
      <c r="B3" s="150" t="str">
        <f>'Summary and sign-off'!B3:F3</f>
        <v>Gretchen La Roche</v>
      </c>
      <c r="C3" s="150"/>
      <c r="D3" s="150"/>
      <c r="E3" s="150"/>
      <c r="F3" s="17"/>
    </row>
    <row r="4" spans="1:6" ht="21" customHeight="1" x14ac:dyDescent="0.25">
      <c r="A4" s="130" t="s">
        <v>109</v>
      </c>
      <c r="B4" s="150">
        <f>'Summary and sign-off'!B4:F4</f>
        <v>45839</v>
      </c>
      <c r="C4" s="150"/>
      <c r="D4" s="150"/>
      <c r="E4" s="150"/>
      <c r="F4" s="17"/>
    </row>
    <row r="5" spans="1:6" ht="21" customHeight="1" x14ac:dyDescent="0.25">
      <c r="A5" s="130" t="s">
        <v>110</v>
      </c>
      <c r="B5" s="150">
        <f>'Summary and sign-off'!B5:F5</f>
        <v>46203</v>
      </c>
      <c r="C5" s="150"/>
      <c r="D5" s="150"/>
      <c r="E5" s="150"/>
      <c r="F5" s="17"/>
    </row>
    <row r="6" spans="1:6" ht="21" customHeight="1" x14ac:dyDescent="0.25">
      <c r="A6" s="130" t="s">
        <v>111</v>
      </c>
      <c r="B6" s="145" t="s">
        <v>78</v>
      </c>
      <c r="C6" s="145"/>
      <c r="D6" s="145"/>
      <c r="E6" s="145"/>
      <c r="F6" s="17"/>
    </row>
    <row r="7" spans="1:6" ht="21" customHeight="1" x14ac:dyDescent="0.25">
      <c r="A7" s="130" t="s">
        <v>52</v>
      </c>
      <c r="B7" s="145" t="s">
        <v>80</v>
      </c>
      <c r="C7" s="145"/>
      <c r="D7" s="145"/>
      <c r="E7" s="145"/>
      <c r="F7" s="17"/>
    </row>
    <row r="8" spans="1:6" ht="36" customHeight="1" x14ac:dyDescent="0.25">
      <c r="A8" s="154" t="s">
        <v>112</v>
      </c>
      <c r="B8" s="155"/>
      <c r="C8" s="155"/>
      <c r="D8" s="155"/>
      <c r="E8" s="155"/>
      <c r="F8" s="19"/>
    </row>
    <row r="9" spans="1:6" ht="36" customHeight="1" x14ac:dyDescent="0.25">
      <c r="A9" s="156" t="s">
        <v>113</v>
      </c>
      <c r="B9" s="157"/>
      <c r="C9" s="157"/>
      <c r="D9" s="157"/>
      <c r="E9" s="157"/>
      <c r="F9" s="19"/>
    </row>
    <row r="10" spans="1:6" ht="24.75" customHeight="1" x14ac:dyDescent="0.3">
      <c r="A10" s="153" t="s">
        <v>114</v>
      </c>
      <c r="B10" s="158"/>
      <c r="C10" s="153"/>
      <c r="D10" s="153"/>
      <c r="E10" s="153"/>
      <c r="F10" s="29"/>
    </row>
    <row r="11" spans="1:6" ht="28.5" customHeight="1" x14ac:dyDescent="0.25">
      <c r="A11" s="131" t="s">
        <v>115</v>
      </c>
      <c r="B11" s="24" t="s">
        <v>116</v>
      </c>
      <c r="C11" s="24" t="s">
        <v>117</v>
      </c>
      <c r="D11" s="24" t="s">
        <v>118</v>
      </c>
      <c r="E11" s="24" t="s">
        <v>119</v>
      </c>
      <c r="F11" s="30"/>
    </row>
    <row r="12" spans="1:6" s="2" customFormat="1" x14ac:dyDescent="0.25">
      <c r="A12" s="129"/>
      <c r="B12" s="112"/>
      <c r="C12" s="113" t="s">
        <v>378</v>
      </c>
      <c r="D12" s="113"/>
      <c r="E12" s="114"/>
      <c r="F12" s="1"/>
    </row>
    <row r="13" spans="1:6" s="2" customFormat="1" x14ac:dyDescent="0.25">
      <c r="A13" s="129"/>
      <c r="B13" s="112"/>
      <c r="C13" s="113"/>
      <c r="D13" s="113"/>
      <c r="E13" s="114"/>
      <c r="F13" s="1"/>
    </row>
    <row r="14" spans="1:6" s="2" customFormat="1" x14ac:dyDescent="0.25">
      <c r="A14" s="129"/>
      <c r="B14" s="112"/>
      <c r="C14" s="113"/>
      <c r="D14" s="113"/>
      <c r="E14" s="114"/>
      <c r="F14" s="1"/>
    </row>
    <row r="15" spans="1:6" s="2" customFormat="1" x14ac:dyDescent="0.25">
      <c r="A15" s="129"/>
      <c r="B15" s="112"/>
      <c r="C15" s="113"/>
      <c r="D15" s="113"/>
      <c r="E15" s="114"/>
      <c r="F15" s="1"/>
    </row>
    <row r="16" spans="1:6" s="2" customFormat="1" x14ac:dyDescent="0.25">
      <c r="A16" s="129"/>
      <c r="B16" s="112"/>
      <c r="C16" s="113"/>
      <c r="D16" s="113"/>
      <c r="E16" s="114"/>
      <c r="F16" s="1"/>
    </row>
    <row r="17" spans="1:6" s="2" customFormat="1" x14ac:dyDescent="0.25">
      <c r="A17" s="129"/>
      <c r="B17" s="112"/>
      <c r="C17" s="113"/>
      <c r="D17" s="113"/>
      <c r="E17" s="114"/>
      <c r="F17" s="1"/>
    </row>
    <row r="18" spans="1:6" s="2" customFormat="1" ht="12.75" customHeight="1" x14ac:dyDescent="0.25">
      <c r="A18" s="129"/>
      <c r="B18" s="112"/>
      <c r="C18" s="113"/>
      <c r="D18" s="113"/>
      <c r="E18" s="114"/>
      <c r="F18" s="1"/>
    </row>
    <row r="19" spans="1:6" s="2" customFormat="1" x14ac:dyDescent="0.25">
      <c r="A19" s="132"/>
      <c r="B19" s="112"/>
      <c r="C19" s="113"/>
      <c r="D19" s="113"/>
      <c r="E19" s="114"/>
      <c r="F19" s="1"/>
    </row>
    <row r="20" spans="1:6" s="2" customFormat="1" x14ac:dyDescent="0.25">
      <c r="A20" s="132"/>
      <c r="B20" s="112"/>
      <c r="C20" s="113"/>
      <c r="D20" s="113"/>
      <c r="E20" s="114"/>
      <c r="F20" s="1"/>
    </row>
    <row r="21" spans="1:6" s="2" customFormat="1" hidden="1" x14ac:dyDescent="0.25">
      <c r="A21" s="133"/>
      <c r="B21" s="100"/>
      <c r="C21" s="101"/>
      <c r="D21" s="101"/>
      <c r="E21" s="102"/>
      <c r="F21" s="1"/>
    </row>
    <row r="22" spans="1:6" ht="19.5" customHeight="1" x14ac:dyDescent="0.25">
      <c r="A22" s="134" t="s">
        <v>120</v>
      </c>
      <c r="B22" s="69">
        <f>SUM(B12:B21)</f>
        <v>0</v>
      </c>
      <c r="C22" s="122" t="str">
        <f>IF(SUBTOTAL(3,B12:B21)=SUBTOTAL(103,B12:B21),'Summary and sign-off'!$A$48,'Summary and sign-off'!$A$49)</f>
        <v>Check - there are no hidden rows with data</v>
      </c>
      <c r="D22" s="151" t="str">
        <f>IF('Summary and sign-off'!F55='Summary and sign-off'!F54,'Summary and sign-off'!A51,'Summary and sign-off'!A50)</f>
        <v>Check - each entry provides sufficient information</v>
      </c>
      <c r="E22" s="151"/>
      <c r="F22" s="17"/>
    </row>
    <row r="23" spans="1:6" ht="10.5" customHeight="1" x14ac:dyDescent="0.25">
      <c r="A23" s="135"/>
      <c r="B23" s="19"/>
      <c r="C23" s="17"/>
      <c r="D23" s="17"/>
      <c r="E23" s="17"/>
      <c r="F23" s="17"/>
    </row>
    <row r="24" spans="1:6" ht="24.75" customHeight="1" x14ac:dyDescent="0.3">
      <c r="A24" s="153" t="s">
        <v>121</v>
      </c>
      <c r="B24" s="153"/>
      <c r="C24" s="153"/>
      <c r="D24" s="153"/>
      <c r="E24" s="153"/>
      <c r="F24" s="29"/>
    </row>
    <row r="25" spans="1:6" ht="32.4" customHeight="1" x14ac:dyDescent="0.25">
      <c r="A25" s="131" t="s">
        <v>115</v>
      </c>
      <c r="B25" s="24" t="s">
        <v>59</v>
      </c>
      <c r="C25" s="24" t="s">
        <v>122</v>
      </c>
      <c r="D25" s="24" t="s">
        <v>118</v>
      </c>
      <c r="E25" s="24" t="s">
        <v>119</v>
      </c>
      <c r="F25" s="30"/>
    </row>
    <row r="26" spans="1:6" s="2" customFormat="1" x14ac:dyDescent="0.25">
      <c r="A26" s="129" t="s">
        <v>356</v>
      </c>
      <c r="B26" s="112">
        <v>343.29</v>
      </c>
      <c r="C26" s="113" t="s">
        <v>295</v>
      </c>
      <c r="D26" s="113" t="s">
        <v>293</v>
      </c>
      <c r="E26" s="114" t="s">
        <v>294</v>
      </c>
      <c r="F26" s="143"/>
    </row>
    <row r="27" spans="1:6" s="2" customFormat="1" x14ac:dyDescent="0.25">
      <c r="A27" s="129" t="s">
        <v>356</v>
      </c>
      <c r="B27" s="112">
        <v>144.57</v>
      </c>
      <c r="C27" s="113" t="s">
        <v>295</v>
      </c>
      <c r="D27" s="113" t="s">
        <v>296</v>
      </c>
      <c r="E27" s="114" t="s">
        <v>294</v>
      </c>
      <c r="F27" s="1"/>
    </row>
    <row r="28" spans="1:6" s="2" customFormat="1" x14ac:dyDescent="0.25">
      <c r="A28" s="129" t="s">
        <v>356</v>
      </c>
      <c r="B28" s="112">
        <f>49.93+17.03+91.34</f>
        <v>158.30000000000001</v>
      </c>
      <c r="C28" s="113" t="s">
        <v>295</v>
      </c>
      <c r="D28" s="113" t="s">
        <v>297</v>
      </c>
      <c r="E28" s="114" t="s">
        <v>294</v>
      </c>
      <c r="F28" s="1"/>
    </row>
    <row r="29" spans="1:6" s="2" customFormat="1" x14ac:dyDescent="0.25">
      <c r="A29" s="129" t="s">
        <v>300</v>
      </c>
      <c r="B29" s="112">
        <v>339.93</v>
      </c>
      <c r="C29" s="113" t="s">
        <v>301</v>
      </c>
      <c r="D29" s="113" t="s">
        <v>293</v>
      </c>
      <c r="E29" s="114" t="s">
        <v>298</v>
      </c>
      <c r="F29" s="1"/>
    </row>
    <row r="30" spans="1:6" s="2" customFormat="1" x14ac:dyDescent="0.25">
      <c r="A30" s="129" t="s">
        <v>300</v>
      </c>
      <c r="B30" s="112">
        <v>413.91</v>
      </c>
      <c r="C30" s="113" t="s">
        <v>301</v>
      </c>
      <c r="D30" s="113" t="s">
        <v>296</v>
      </c>
      <c r="E30" s="114" t="s">
        <v>298</v>
      </c>
      <c r="F30" s="1"/>
    </row>
    <row r="31" spans="1:6" s="2" customFormat="1" x14ac:dyDescent="0.25">
      <c r="A31" s="129" t="s">
        <v>299</v>
      </c>
      <c r="B31" s="112">
        <f>82.61+215.93+10</f>
        <v>308.54000000000002</v>
      </c>
      <c r="C31" s="113" t="s">
        <v>376</v>
      </c>
      <c r="D31" s="113" t="s">
        <v>293</v>
      </c>
      <c r="E31" s="114" t="s">
        <v>294</v>
      </c>
      <c r="F31" s="1"/>
    </row>
    <row r="32" spans="1:6" s="2" customFormat="1" x14ac:dyDescent="0.25">
      <c r="A32" s="129" t="s">
        <v>299</v>
      </c>
      <c r="B32" s="112">
        <v>378.35</v>
      </c>
      <c r="C32" s="113" t="s">
        <v>376</v>
      </c>
      <c r="D32" s="113" t="s">
        <v>296</v>
      </c>
      <c r="E32" s="114" t="s">
        <v>294</v>
      </c>
      <c r="F32" s="1"/>
    </row>
    <row r="33" spans="1:6" s="2" customFormat="1" x14ac:dyDescent="0.25">
      <c r="A33" s="129" t="s">
        <v>299</v>
      </c>
      <c r="B33" s="112">
        <f>57.67+90.87</f>
        <v>148.54000000000002</v>
      </c>
      <c r="C33" s="113" t="s">
        <v>376</v>
      </c>
      <c r="D33" s="113" t="s">
        <v>297</v>
      </c>
      <c r="E33" s="114" t="s">
        <v>294</v>
      </c>
      <c r="F33" s="1"/>
    </row>
    <row r="34" spans="1:6" s="2" customFormat="1" x14ac:dyDescent="0.25">
      <c r="A34" s="129" t="s">
        <v>302</v>
      </c>
      <c r="B34" s="112">
        <f>100.37+34.04</f>
        <v>134.41</v>
      </c>
      <c r="C34" s="113" t="s">
        <v>303</v>
      </c>
      <c r="D34" s="113" t="s">
        <v>293</v>
      </c>
      <c r="E34" s="114" t="s">
        <v>298</v>
      </c>
      <c r="F34" s="1"/>
    </row>
    <row r="35" spans="1:6" s="2" customFormat="1" x14ac:dyDescent="0.25">
      <c r="A35" s="129" t="s">
        <v>302</v>
      </c>
      <c r="B35" s="112">
        <v>134.78</v>
      </c>
      <c r="C35" s="113" t="s">
        <v>303</v>
      </c>
      <c r="D35" s="113" t="s">
        <v>296</v>
      </c>
      <c r="E35" s="114" t="s">
        <v>298</v>
      </c>
      <c r="F35" s="1"/>
    </row>
    <row r="36" spans="1:6" s="2" customFormat="1" x14ac:dyDescent="0.25">
      <c r="A36" s="129" t="s">
        <v>302</v>
      </c>
      <c r="B36" s="112">
        <v>47.34</v>
      </c>
      <c r="C36" s="113" t="s">
        <v>303</v>
      </c>
      <c r="D36" s="113" t="s">
        <v>297</v>
      </c>
      <c r="E36" s="114" t="s">
        <v>298</v>
      </c>
      <c r="F36" s="1"/>
    </row>
    <row r="37" spans="1:6" s="2" customFormat="1" x14ac:dyDescent="0.25">
      <c r="A37" s="129" t="s">
        <v>306</v>
      </c>
      <c r="B37" s="112">
        <f>43.48+217.62</f>
        <v>261.10000000000002</v>
      </c>
      <c r="C37" s="113" t="s">
        <v>295</v>
      </c>
      <c r="D37" s="113" t="s">
        <v>293</v>
      </c>
      <c r="E37" s="114" t="s">
        <v>298</v>
      </c>
      <c r="F37" s="1"/>
    </row>
    <row r="38" spans="1:6" s="2" customFormat="1" x14ac:dyDescent="0.25">
      <c r="A38" s="129" t="s">
        <v>306</v>
      </c>
      <c r="B38" s="112">
        <v>404.35</v>
      </c>
      <c r="C38" s="113" t="s">
        <v>295</v>
      </c>
      <c r="D38" s="113" t="s">
        <v>296</v>
      </c>
      <c r="E38" s="114" t="s">
        <v>298</v>
      </c>
      <c r="F38" s="1"/>
    </row>
    <row r="39" spans="1:6" s="2" customFormat="1" x14ac:dyDescent="0.25">
      <c r="A39" s="129" t="s">
        <v>306</v>
      </c>
      <c r="B39" s="112">
        <v>89.43</v>
      </c>
      <c r="C39" s="113" t="s">
        <v>295</v>
      </c>
      <c r="D39" s="113" t="s">
        <v>297</v>
      </c>
      <c r="E39" s="114" t="s">
        <v>298</v>
      </c>
      <c r="F39" s="1"/>
    </row>
    <row r="40" spans="1:6" s="2" customFormat="1" x14ac:dyDescent="0.25">
      <c r="A40" s="129" t="s">
        <v>307</v>
      </c>
      <c r="B40" s="112">
        <f>128.7+100.37+81.01</f>
        <v>310.08</v>
      </c>
      <c r="C40" s="113" t="s">
        <v>327</v>
      </c>
      <c r="D40" s="113" t="s">
        <v>293</v>
      </c>
      <c r="E40" s="114" t="s">
        <v>298</v>
      </c>
      <c r="F40" s="1"/>
    </row>
    <row r="41" spans="1:6" s="2" customFormat="1" x14ac:dyDescent="0.25">
      <c r="A41" s="129" t="s">
        <v>307</v>
      </c>
      <c r="B41" s="112">
        <v>567.83000000000004</v>
      </c>
      <c r="C41" s="113" t="s">
        <v>327</v>
      </c>
      <c r="D41" s="113" t="s">
        <v>296</v>
      </c>
      <c r="E41" s="114" t="s">
        <v>298</v>
      </c>
      <c r="F41" s="1"/>
    </row>
    <row r="42" spans="1:6" s="2" customFormat="1" x14ac:dyDescent="0.25">
      <c r="A42" s="129" t="s">
        <v>307</v>
      </c>
      <c r="B42" s="112">
        <f>70.12+52.26</f>
        <v>122.38</v>
      </c>
      <c r="C42" s="113" t="s">
        <v>327</v>
      </c>
      <c r="D42" s="113" t="s">
        <v>341</v>
      </c>
      <c r="E42" s="114" t="s">
        <v>298</v>
      </c>
      <c r="F42" s="1"/>
    </row>
    <row r="43" spans="1:6" s="2" customFormat="1" x14ac:dyDescent="0.25">
      <c r="A43" s="129" t="s">
        <v>351</v>
      </c>
      <c r="B43" s="112">
        <f>140.86+128.7</f>
        <v>269.56</v>
      </c>
      <c r="C43" s="113" t="s">
        <v>295</v>
      </c>
      <c r="D43" s="113" t="s">
        <v>293</v>
      </c>
      <c r="E43" s="114" t="s">
        <v>298</v>
      </c>
      <c r="F43" s="1"/>
    </row>
    <row r="44" spans="1:6" s="2" customFormat="1" x14ac:dyDescent="0.25">
      <c r="A44" s="129" t="s">
        <v>351</v>
      </c>
      <c r="B44" s="112">
        <v>271.3</v>
      </c>
      <c r="C44" s="113" t="s">
        <v>331</v>
      </c>
      <c r="D44" s="113" t="s">
        <v>296</v>
      </c>
      <c r="E44" s="114" t="s">
        <v>298</v>
      </c>
      <c r="F44" s="1"/>
    </row>
    <row r="45" spans="1:6" s="2" customFormat="1" x14ac:dyDescent="0.25">
      <c r="A45" s="129" t="s">
        <v>351</v>
      </c>
      <c r="B45" s="112">
        <v>52.57</v>
      </c>
      <c r="C45" s="113" t="s">
        <v>331</v>
      </c>
      <c r="D45" s="113" t="s">
        <v>341</v>
      </c>
      <c r="E45" s="114" t="s">
        <v>298</v>
      </c>
      <c r="F45" s="1"/>
    </row>
    <row r="46" spans="1:6" s="2" customFormat="1" x14ac:dyDescent="0.25">
      <c r="A46" s="129">
        <v>45896</v>
      </c>
      <c r="B46" s="112">
        <v>273.27999999999997</v>
      </c>
      <c r="C46" s="113" t="s">
        <v>304</v>
      </c>
      <c r="D46" s="113" t="s">
        <v>293</v>
      </c>
      <c r="E46" s="114" t="s">
        <v>298</v>
      </c>
      <c r="F46" s="1"/>
    </row>
    <row r="47" spans="1:6" s="2" customFormat="1" x14ac:dyDescent="0.25">
      <c r="A47" s="129" t="s">
        <v>323</v>
      </c>
      <c r="B47" s="112">
        <v>69.83</v>
      </c>
      <c r="C47" s="113" t="s">
        <v>353</v>
      </c>
      <c r="D47" s="113" t="s">
        <v>354</v>
      </c>
      <c r="E47" s="114" t="s">
        <v>352</v>
      </c>
      <c r="F47" s="1"/>
    </row>
    <row r="48" spans="1:6" s="2" customFormat="1" x14ac:dyDescent="0.25">
      <c r="A48" s="129" t="s">
        <v>323</v>
      </c>
      <c r="B48" s="112">
        <v>780.88</v>
      </c>
      <c r="C48" s="113" t="s">
        <v>353</v>
      </c>
      <c r="D48" s="113" t="s">
        <v>296</v>
      </c>
      <c r="E48" s="114" t="s">
        <v>352</v>
      </c>
      <c r="F48" s="1"/>
    </row>
    <row r="49" spans="1:6" s="2" customFormat="1" x14ac:dyDescent="0.25">
      <c r="A49" s="129" t="s">
        <v>305</v>
      </c>
      <c r="B49" s="112">
        <f>100.37+102.61+69.52</f>
        <v>272.5</v>
      </c>
      <c r="C49" s="113" t="s">
        <v>379</v>
      </c>
      <c r="D49" s="113" t="s">
        <v>293</v>
      </c>
      <c r="E49" s="114" t="s">
        <v>298</v>
      </c>
      <c r="F49" s="1"/>
    </row>
    <row r="50" spans="1:6" s="2" customFormat="1" x14ac:dyDescent="0.25">
      <c r="A50" s="129" t="s">
        <v>305</v>
      </c>
      <c r="B50" s="112">
        <f>147.83+634.78</f>
        <v>782.61</v>
      </c>
      <c r="C50" s="113" t="s">
        <v>379</v>
      </c>
      <c r="D50" s="113" t="s">
        <v>296</v>
      </c>
      <c r="E50" s="114" t="s">
        <v>298</v>
      </c>
      <c r="F50" s="1"/>
    </row>
    <row r="51" spans="1:6" s="2" customFormat="1" x14ac:dyDescent="0.25">
      <c r="A51" s="129" t="s">
        <v>305</v>
      </c>
      <c r="B51" s="112">
        <f>26.09+22.95+55.92+49.66</f>
        <v>154.62</v>
      </c>
      <c r="C51" s="113" t="s">
        <v>379</v>
      </c>
      <c r="D51" s="113" t="s">
        <v>341</v>
      </c>
      <c r="E51" s="114" t="s">
        <v>298</v>
      </c>
      <c r="F51" s="1"/>
    </row>
    <row r="52" spans="1:6" s="2" customFormat="1" x14ac:dyDescent="0.25">
      <c r="A52" s="129" t="s">
        <v>330</v>
      </c>
      <c r="B52" s="112">
        <f>375.35+108.43+83.51</f>
        <v>567.29000000000008</v>
      </c>
      <c r="C52" s="113" t="s">
        <v>366</v>
      </c>
      <c r="D52" s="113" t="s">
        <v>293</v>
      </c>
      <c r="E52" s="114" t="s">
        <v>349</v>
      </c>
      <c r="F52" s="1"/>
    </row>
    <row r="53" spans="1:6" s="2" customFormat="1" x14ac:dyDescent="0.25">
      <c r="A53" s="129" t="s">
        <v>330</v>
      </c>
      <c r="B53" s="112">
        <v>190.43</v>
      </c>
      <c r="C53" s="113" t="s">
        <v>366</v>
      </c>
      <c r="D53" s="113" t="s">
        <v>296</v>
      </c>
      <c r="E53" s="114" t="s">
        <v>294</v>
      </c>
      <c r="F53" s="1"/>
    </row>
    <row r="54" spans="1:6" s="2" customFormat="1" x14ac:dyDescent="0.25">
      <c r="A54" s="129" t="s">
        <v>330</v>
      </c>
      <c r="B54" s="112">
        <v>38.26</v>
      </c>
      <c r="C54" s="113" t="s">
        <v>366</v>
      </c>
      <c r="D54" s="113" t="s">
        <v>297</v>
      </c>
      <c r="E54" s="114" t="s">
        <v>294</v>
      </c>
      <c r="F54" s="1"/>
    </row>
    <row r="55" spans="1:6" s="2" customFormat="1" x14ac:dyDescent="0.25">
      <c r="A55" s="129" t="s">
        <v>330</v>
      </c>
      <c r="B55" s="112">
        <f>27.57+31.64+51.25</f>
        <v>110.46000000000001</v>
      </c>
      <c r="C55" s="113" t="s">
        <v>366</v>
      </c>
      <c r="D55" s="113" t="s">
        <v>341</v>
      </c>
      <c r="E55" s="114" t="s">
        <v>294</v>
      </c>
      <c r="F55" s="1"/>
    </row>
    <row r="56" spans="1:6" s="2" customFormat="1" x14ac:dyDescent="0.25">
      <c r="A56" s="129" t="s">
        <v>329</v>
      </c>
      <c r="B56" s="112">
        <v>560.87</v>
      </c>
      <c r="C56" s="113" t="s">
        <v>327</v>
      </c>
      <c r="D56" s="113" t="s">
        <v>308</v>
      </c>
      <c r="E56" s="114" t="s">
        <v>298</v>
      </c>
      <c r="F56" s="1"/>
    </row>
    <row r="57" spans="1:6" s="2" customFormat="1" x14ac:dyDescent="0.25">
      <c r="A57" s="129" t="s">
        <v>329</v>
      </c>
      <c r="B57" s="112">
        <v>53.05</v>
      </c>
      <c r="C57" s="113" t="s">
        <v>327</v>
      </c>
      <c r="D57" s="113" t="s">
        <v>297</v>
      </c>
      <c r="E57" s="114" t="s">
        <v>298</v>
      </c>
      <c r="F57" s="1"/>
    </row>
    <row r="58" spans="1:6" s="2" customFormat="1" x14ac:dyDescent="0.25">
      <c r="A58" s="129" t="s">
        <v>329</v>
      </c>
      <c r="B58" s="112">
        <f>12.33+8.45+23.56</f>
        <v>44.34</v>
      </c>
      <c r="C58" s="113" t="s">
        <v>327</v>
      </c>
      <c r="D58" s="113" t="s">
        <v>341</v>
      </c>
      <c r="E58" s="114" t="s">
        <v>298</v>
      </c>
      <c r="F58" s="1"/>
    </row>
    <row r="59" spans="1:6" s="2" customFormat="1" x14ac:dyDescent="0.25">
      <c r="A59" s="129" t="s">
        <v>310</v>
      </c>
      <c r="B59" s="112">
        <f>116.87+10+43.48+10</f>
        <v>180.35</v>
      </c>
      <c r="C59" s="113" t="s">
        <v>367</v>
      </c>
      <c r="D59" s="113" t="s">
        <v>293</v>
      </c>
      <c r="E59" s="114" t="s">
        <v>298</v>
      </c>
      <c r="F59" s="1"/>
    </row>
    <row r="60" spans="1:6" s="2" customFormat="1" x14ac:dyDescent="0.25">
      <c r="A60" s="129" t="s">
        <v>310</v>
      </c>
      <c r="B60" s="112">
        <v>566.96</v>
      </c>
      <c r="C60" s="113" t="s">
        <v>367</v>
      </c>
      <c r="D60" s="113" t="s">
        <v>296</v>
      </c>
      <c r="E60" s="114" t="s">
        <v>298</v>
      </c>
      <c r="F60" s="1"/>
    </row>
    <row r="61" spans="1:6" s="2" customFormat="1" x14ac:dyDescent="0.25">
      <c r="A61" s="129" t="s">
        <v>310</v>
      </c>
      <c r="B61" s="112">
        <f>11.51+21.97+50.18+52.09</f>
        <v>135.75</v>
      </c>
      <c r="C61" s="113" t="s">
        <v>367</v>
      </c>
      <c r="D61" s="113" t="s">
        <v>341</v>
      </c>
      <c r="E61" s="114" t="s">
        <v>298</v>
      </c>
      <c r="F61" s="1"/>
    </row>
    <row r="62" spans="1:6" s="2" customFormat="1" x14ac:dyDescent="0.25">
      <c r="A62" s="129" t="s">
        <v>309</v>
      </c>
      <c r="B62" s="112">
        <f>205.81+79.13+43.48</f>
        <v>328.42</v>
      </c>
      <c r="C62" s="113" t="s">
        <v>368</v>
      </c>
      <c r="D62" s="113" t="s">
        <v>293</v>
      </c>
      <c r="E62" s="114" t="s">
        <v>298</v>
      </c>
      <c r="F62" s="1"/>
    </row>
    <row r="63" spans="1:6" s="2" customFormat="1" x14ac:dyDescent="0.25">
      <c r="A63" s="129" t="s">
        <v>309</v>
      </c>
      <c r="B63" s="112">
        <v>293.04000000000002</v>
      </c>
      <c r="C63" s="113" t="s">
        <v>368</v>
      </c>
      <c r="D63" s="113" t="s">
        <v>296</v>
      </c>
      <c r="E63" s="114" t="s">
        <v>298</v>
      </c>
      <c r="F63" s="1"/>
    </row>
    <row r="64" spans="1:6" s="2" customFormat="1" x14ac:dyDescent="0.25">
      <c r="A64" s="129" t="s">
        <v>309</v>
      </c>
      <c r="B64" s="112">
        <v>53.5</v>
      </c>
      <c r="C64" s="113" t="s">
        <v>368</v>
      </c>
      <c r="D64" s="113" t="s">
        <v>341</v>
      </c>
      <c r="E64" s="114" t="s">
        <v>298</v>
      </c>
      <c r="F64" s="1"/>
    </row>
    <row r="65" spans="1:6" s="2" customFormat="1" x14ac:dyDescent="0.25">
      <c r="A65" s="129" t="s">
        <v>325</v>
      </c>
      <c r="B65" s="112">
        <f>80+100.37+38.51</f>
        <v>218.88</v>
      </c>
      <c r="C65" s="113" t="s">
        <v>331</v>
      </c>
      <c r="D65" s="113" t="s">
        <v>293</v>
      </c>
      <c r="E65" s="114" t="s">
        <v>311</v>
      </c>
      <c r="F65" s="1"/>
    </row>
    <row r="66" spans="1:6" s="2" customFormat="1" x14ac:dyDescent="0.25">
      <c r="A66" s="129" t="s">
        <v>325</v>
      </c>
      <c r="B66" s="112">
        <v>221.74</v>
      </c>
      <c r="C66" s="113" t="s">
        <v>331</v>
      </c>
      <c r="D66" s="113" t="s">
        <v>296</v>
      </c>
      <c r="E66" s="114" t="s">
        <v>311</v>
      </c>
      <c r="F66" s="1"/>
    </row>
    <row r="67" spans="1:6" s="2" customFormat="1" x14ac:dyDescent="0.25">
      <c r="A67" s="129" t="s">
        <v>325</v>
      </c>
      <c r="B67" s="112">
        <f>15.14+67.8+72.78+100.73</f>
        <v>256.45</v>
      </c>
      <c r="C67" s="113" t="s">
        <v>331</v>
      </c>
      <c r="D67" s="113" t="s">
        <v>341</v>
      </c>
      <c r="E67" s="114" t="s">
        <v>311</v>
      </c>
      <c r="F67" s="1"/>
    </row>
    <row r="68" spans="1:6" s="2" customFormat="1" x14ac:dyDescent="0.25">
      <c r="A68" s="129" t="s">
        <v>325</v>
      </c>
      <c r="B68" s="112">
        <v>31.99</v>
      </c>
      <c r="C68" s="113" t="s">
        <v>331</v>
      </c>
      <c r="D68" s="113" t="s">
        <v>326</v>
      </c>
      <c r="E68" s="114" t="s">
        <v>311</v>
      </c>
      <c r="F68" s="1"/>
    </row>
    <row r="69" spans="1:6" s="2" customFormat="1" x14ac:dyDescent="0.25">
      <c r="A69" s="129" t="s">
        <v>312</v>
      </c>
      <c r="B69" s="112">
        <f>52.17+69.57+102.51+154.78</f>
        <v>379.03</v>
      </c>
      <c r="C69" s="113" t="s">
        <v>379</v>
      </c>
      <c r="D69" s="113" t="s">
        <v>293</v>
      </c>
      <c r="E69" s="114" t="s">
        <v>298</v>
      </c>
      <c r="F69" s="1"/>
    </row>
    <row r="70" spans="1:6" s="2" customFormat="1" x14ac:dyDescent="0.25">
      <c r="A70" s="129" t="s">
        <v>312</v>
      </c>
      <c r="B70" s="112">
        <v>518.26</v>
      </c>
      <c r="C70" s="113" t="s">
        <v>379</v>
      </c>
      <c r="D70" s="113" t="s">
        <v>296</v>
      </c>
      <c r="E70" s="114" t="s">
        <v>298</v>
      </c>
      <c r="F70" s="1"/>
    </row>
    <row r="71" spans="1:6" s="2" customFormat="1" x14ac:dyDescent="0.25">
      <c r="A71" s="129" t="s">
        <v>312</v>
      </c>
      <c r="B71" s="112">
        <v>51.22</v>
      </c>
      <c r="C71" s="113" t="s">
        <v>379</v>
      </c>
      <c r="D71" s="113" t="s">
        <v>341</v>
      </c>
      <c r="E71" s="114" t="s">
        <v>298</v>
      </c>
      <c r="F71" s="1"/>
    </row>
    <row r="72" spans="1:6" s="2" customFormat="1" x14ac:dyDescent="0.25">
      <c r="A72" s="129" t="s">
        <v>316</v>
      </c>
      <c r="B72" s="112">
        <f>267.57+25</f>
        <v>292.57</v>
      </c>
      <c r="C72" s="113" t="s">
        <v>380</v>
      </c>
      <c r="D72" s="113" t="s">
        <v>293</v>
      </c>
      <c r="E72" s="114" t="s">
        <v>315</v>
      </c>
      <c r="F72" s="1"/>
    </row>
    <row r="73" spans="1:6" s="2" customFormat="1" x14ac:dyDescent="0.25">
      <c r="A73" s="129" t="s">
        <v>316</v>
      </c>
      <c r="B73" s="112">
        <f>467.83+558.43</f>
        <v>1026.26</v>
      </c>
      <c r="C73" s="113" t="s">
        <v>380</v>
      </c>
      <c r="D73" s="113" t="s">
        <v>296</v>
      </c>
      <c r="E73" s="114" t="s">
        <v>315</v>
      </c>
      <c r="F73" s="1"/>
    </row>
    <row r="74" spans="1:6" s="2" customFormat="1" x14ac:dyDescent="0.25">
      <c r="A74" s="129" t="s">
        <v>316</v>
      </c>
      <c r="B74" s="112">
        <v>30.33</v>
      </c>
      <c r="C74" s="113" t="s">
        <v>380</v>
      </c>
      <c r="D74" s="113" t="s">
        <v>362</v>
      </c>
      <c r="E74" s="114" t="s">
        <v>315</v>
      </c>
      <c r="F74" s="1"/>
    </row>
    <row r="75" spans="1:6" s="2" customFormat="1" x14ac:dyDescent="0.25">
      <c r="A75" s="129" t="s">
        <v>316</v>
      </c>
      <c r="B75" s="112">
        <v>53.37</v>
      </c>
      <c r="C75" s="113" t="s">
        <v>380</v>
      </c>
      <c r="D75" s="113" t="s">
        <v>297</v>
      </c>
      <c r="E75" s="114" t="s">
        <v>315</v>
      </c>
      <c r="F75" s="1"/>
    </row>
    <row r="76" spans="1:6" s="2" customFormat="1" x14ac:dyDescent="0.25">
      <c r="A76" s="129" t="s">
        <v>316</v>
      </c>
      <c r="B76" s="112">
        <f>50.88+50.61</f>
        <v>101.49000000000001</v>
      </c>
      <c r="C76" s="113" t="s">
        <v>380</v>
      </c>
      <c r="D76" s="113" t="s">
        <v>341</v>
      </c>
      <c r="E76" s="114" t="s">
        <v>315</v>
      </c>
      <c r="F76" s="1"/>
    </row>
    <row r="77" spans="1:6" s="2" customFormat="1" x14ac:dyDescent="0.25">
      <c r="A77" s="129" t="s">
        <v>314</v>
      </c>
      <c r="B77" s="112">
        <f>51.3+83.5+48.51</f>
        <v>183.31</v>
      </c>
      <c r="C77" s="113" t="s">
        <v>332</v>
      </c>
      <c r="D77" s="113" t="s">
        <v>293</v>
      </c>
      <c r="E77" s="114" t="s">
        <v>298</v>
      </c>
      <c r="F77" s="1"/>
    </row>
    <row r="78" spans="1:6" s="2" customFormat="1" x14ac:dyDescent="0.25">
      <c r="A78" s="129" t="s">
        <v>314</v>
      </c>
      <c r="B78" s="112">
        <v>143.47999999999999</v>
      </c>
      <c r="C78" s="113" t="s">
        <v>332</v>
      </c>
      <c r="D78" s="113" t="s">
        <v>296</v>
      </c>
      <c r="E78" s="114" t="s">
        <v>298</v>
      </c>
      <c r="F78" s="1"/>
    </row>
    <row r="79" spans="1:6" s="2" customFormat="1" x14ac:dyDescent="0.25">
      <c r="A79" s="129" t="s">
        <v>314</v>
      </c>
      <c r="B79" s="112">
        <v>20.55</v>
      </c>
      <c r="C79" s="113" t="s">
        <v>332</v>
      </c>
      <c r="D79" s="113" t="s">
        <v>341</v>
      </c>
      <c r="E79" s="114" t="s">
        <v>298</v>
      </c>
      <c r="F79" s="1"/>
    </row>
    <row r="80" spans="1:6" s="2" customFormat="1" x14ac:dyDescent="0.25">
      <c r="A80" s="129" t="s">
        <v>333</v>
      </c>
      <c r="B80" s="112">
        <f>159.41+20+205</f>
        <v>384.40999999999997</v>
      </c>
      <c r="C80" s="113" t="s">
        <v>355</v>
      </c>
      <c r="D80" s="113" t="s">
        <v>293</v>
      </c>
      <c r="E80" s="114" t="s">
        <v>298</v>
      </c>
      <c r="F80" s="1"/>
    </row>
    <row r="81" spans="1:6" s="2" customFormat="1" x14ac:dyDescent="0.25">
      <c r="A81" s="129" t="s">
        <v>333</v>
      </c>
      <c r="B81" s="112">
        <v>173.04</v>
      </c>
      <c r="C81" s="113" t="s">
        <v>355</v>
      </c>
      <c r="D81" s="113" t="s">
        <v>296</v>
      </c>
      <c r="E81" s="114" t="s">
        <v>298</v>
      </c>
      <c r="F81" s="1"/>
    </row>
    <row r="82" spans="1:6" s="2" customFormat="1" x14ac:dyDescent="0.25">
      <c r="A82" s="129" t="s">
        <v>333</v>
      </c>
      <c r="B82" s="112">
        <v>53.9</v>
      </c>
      <c r="C82" s="113" t="s">
        <v>355</v>
      </c>
      <c r="D82" s="113" t="s">
        <v>341</v>
      </c>
      <c r="E82" s="114" t="s">
        <v>298</v>
      </c>
      <c r="F82" s="1"/>
    </row>
    <row r="83" spans="1:6" s="2" customFormat="1" x14ac:dyDescent="0.25">
      <c r="A83" s="129" t="s">
        <v>369</v>
      </c>
      <c r="B83" s="112">
        <v>189.17</v>
      </c>
      <c r="C83" s="113" t="s">
        <v>385</v>
      </c>
      <c r="D83" s="113" t="s">
        <v>296</v>
      </c>
      <c r="E83" s="114" t="s">
        <v>370</v>
      </c>
      <c r="F83" s="1"/>
    </row>
    <row r="84" spans="1:6" s="2" customFormat="1" x14ac:dyDescent="0.25">
      <c r="A84" s="129" t="s">
        <v>371</v>
      </c>
      <c r="B84" s="112">
        <v>295.64999999999998</v>
      </c>
      <c r="C84" s="113" t="s">
        <v>384</v>
      </c>
      <c r="D84" s="113" t="s">
        <v>296</v>
      </c>
      <c r="E84" s="114" t="s">
        <v>298</v>
      </c>
      <c r="F84" s="1"/>
    </row>
    <row r="85" spans="1:6" s="2" customFormat="1" x14ac:dyDescent="0.25">
      <c r="A85" s="129" t="s">
        <v>365</v>
      </c>
      <c r="B85" s="112">
        <f>100.37+10+76.52+187.83+239.13</f>
        <v>613.85</v>
      </c>
      <c r="C85" s="113" t="s">
        <v>379</v>
      </c>
      <c r="D85" s="113" t="s">
        <v>293</v>
      </c>
      <c r="E85" s="114" t="s">
        <v>298</v>
      </c>
      <c r="F85" s="1"/>
    </row>
    <row r="86" spans="1:6" s="2" customFormat="1" x14ac:dyDescent="0.25">
      <c r="A86" s="129" t="s">
        <v>365</v>
      </c>
      <c r="B86" s="112">
        <v>304.35000000000002</v>
      </c>
      <c r="C86" s="113" t="s">
        <v>379</v>
      </c>
      <c r="D86" s="113" t="s">
        <v>296</v>
      </c>
      <c r="E86" s="114" t="s">
        <v>298</v>
      </c>
      <c r="F86" s="1"/>
    </row>
    <row r="87" spans="1:6" s="2" customFormat="1" x14ac:dyDescent="0.25">
      <c r="A87" s="129">
        <v>46079</v>
      </c>
      <c r="B87" s="112">
        <f>241.74+42.5</f>
        <v>284.24</v>
      </c>
      <c r="C87" s="113" t="s">
        <v>381</v>
      </c>
      <c r="D87" s="113" t="s">
        <v>293</v>
      </c>
      <c r="E87" s="114" t="s">
        <v>298</v>
      </c>
      <c r="F87" s="1"/>
    </row>
    <row r="88" spans="1:6" s="2" customFormat="1" x14ac:dyDescent="0.25">
      <c r="A88" s="129">
        <v>46079</v>
      </c>
      <c r="B88" s="112">
        <v>20.11</v>
      </c>
      <c r="C88" s="113" t="s">
        <v>381</v>
      </c>
      <c r="D88" s="113" t="s">
        <v>341</v>
      </c>
      <c r="E88" s="114" t="s">
        <v>298</v>
      </c>
      <c r="F88" s="1"/>
    </row>
    <row r="89" spans="1:6" s="2" customFormat="1" x14ac:dyDescent="0.25">
      <c r="A89" s="129" t="s">
        <v>334</v>
      </c>
      <c r="B89" s="112">
        <f>128.7+62.61+25+146.54</f>
        <v>362.85</v>
      </c>
      <c r="C89" s="113" t="s">
        <v>335</v>
      </c>
      <c r="D89" s="113" t="s">
        <v>293</v>
      </c>
      <c r="E89" s="114" t="s">
        <v>294</v>
      </c>
      <c r="F89" s="1"/>
    </row>
    <row r="90" spans="1:6" s="2" customFormat="1" x14ac:dyDescent="0.25">
      <c r="A90" s="129" t="s">
        <v>334</v>
      </c>
      <c r="B90" s="112">
        <v>169.57</v>
      </c>
      <c r="C90" s="113" t="s">
        <v>335</v>
      </c>
      <c r="D90" s="113" t="s">
        <v>296</v>
      </c>
      <c r="E90" s="114" t="s">
        <v>294</v>
      </c>
      <c r="F90" s="1"/>
    </row>
    <row r="91" spans="1:6" s="2" customFormat="1" x14ac:dyDescent="0.25">
      <c r="A91" s="129" t="s">
        <v>334</v>
      </c>
      <c r="B91" s="112">
        <f>29.73+33.82</f>
        <v>63.55</v>
      </c>
      <c r="C91" s="113" t="s">
        <v>335</v>
      </c>
      <c r="D91" s="113" t="s">
        <v>341</v>
      </c>
      <c r="E91" s="114" t="s">
        <v>294</v>
      </c>
      <c r="F91" s="1"/>
    </row>
    <row r="92" spans="1:6" s="2" customFormat="1" x14ac:dyDescent="0.25">
      <c r="A92" s="129" t="s">
        <v>317</v>
      </c>
      <c r="B92" s="112">
        <f>392.22+73.04+25+28.7</f>
        <v>518.96</v>
      </c>
      <c r="C92" s="113" t="s">
        <v>348</v>
      </c>
      <c r="D92" s="113" t="s">
        <v>293</v>
      </c>
      <c r="E92" s="114" t="s">
        <v>350</v>
      </c>
      <c r="F92" s="1"/>
    </row>
    <row r="93" spans="1:6" s="2" customFormat="1" x14ac:dyDescent="0.25">
      <c r="A93" s="129" t="s">
        <v>317</v>
      </c>
      <c r="B93" s="112">
        <v>174.52</v>
      </c>
      <c r="C93" s="113" t="s">
        <v>348</v>
      </c>
      <c r="D93" s="113" t="s">
        <v>296</v>
      </c>
      <c r="E93" s="114" t="s">
        <v>311</v>
      </c>
      <c r="F93" s="1"/>
    </row>
    <row r="94" spans="1:6" s="2" customFormat="1" x14ac:dyDescent="0.25">
      <c r="A94" s="129" t="s">
        <v>317</v>
      </c>
      <c r="B94" s="112">
        <v>104.07</v>
      </c>
      <c r="C94" s="113" t="s">
        <v>348</v>
      </c>
      <c r="D94" s="113" t="s">
        <v>297</v>
      </c>
      <c r="E94" s="114" t="s">
        <v>311</v>
      </c>
      <c r="F94" s="1"/>
    </row>
    <row r="95" spans="1:6" s="2" customFormat="1" x14ac:dyDescent="0.25">
      <c r="A95" s="129" t="s">
        <v>317</v>
      </c>
      <c r="B95" s="112">
        <f>32.17+60.26+74.52</f>
        <v>166.95</v>
      </c>
      <c r="C95" s="113" t="s">
        <v>348</v>
      </c>
      <c r="D95" s="113" t="s">
        <v>341</v>
      </c>
      <c r="E95" s="114" t="s">
        <v>311</v>
      </c>
      <c r="F95" s="1"/>
    </row>
    <row r="96" spans="1:6" s="2" customFormat="1" x14ac:dyDescent="0.25">
      <c r="A96" s="129" t="s">
        <v>342</v>
      </c>
      <c r="B96" s="112">
        <v>888.7</v>
      </c>
      <c r="C96" s="113" t="s">
        <v>343</v>
      </c>
      <c r="D96" s="113" t="s">
        <v>296</v>
      </c>
      <c r="E96" s="114" t="s">
        <v>298</v>
      </c>
      <c r="F96" s="1"/>
    </row>
    <row r="97" spans="1:6" s="2" customFormat="1" x14ac:dyDescent="0.25">
      <c r="A97" s="129" t="s">
        <v>342</v>
      </c>
      <c r="B97" s="112">
        <v>89.34</v>
      </c>
      <c r="C97" s="113" t="s">
        <v>343</v>
      </c>
      <c r="D97" s="113" t="s">
        <v>297</v>
      </c>
      <c r="E97" s="114" t="s">
        <v>298</v>
      </c>
      <c r="F97" s="1"/>
    </row>
    <row r="98" spans="1:6" s="2" customFormat="1" x14ac:dyDescent="0.25">
      <c r="A98" s="129" t="s">
        <v>342</v>
      </c>
      <c r="B98" s="112">
        <v>67.930000000000007</v>
      </c>
      <c r="C98" s="113" t="s">
        <v>343</v>
      </c>
      <c r="D98" s="113" t="s">
        <v>341</v>
      </c>
      <c r="E98" s="114" t="s">
        <v>298</v>
      </c>
      <c r="F98" s="1"/>
    </row>
    <row r="99" spans="1:6" s="2" customFormat="1" x14ac:dyDescent="0.25">
      <c r="A99" s="129" t="s">
        <v>336</v>
      </c>
      <c r="B99" s="112">
        <f>259.06+20+51.12</f>
        <v>330.18</v>
      </c>
      <c r="C99" s="113" t="s">
        <v>335</v>
      </c>
      <c r="D99" s="113" t="s">
        <v>293</v>
      </c>
      <c r="E99" s="114" t="s">
        <v>318</v>
      </c>
      <c r="F99" s="1"/>
    </row>
    <row r="100" spans="1:6" s="2" customFormat="1" x14ac:dyDescent="0.25">
      <c r="A100" s="129" t="s">
        <v>336</v>
      </c>
      <c r="B100" s="112">
        <v>178.26</v>
      </c>
      <c r="C100" s="113" t="s">
        <v>335</v>
      </c>
      <c r="D100" s="113" t="s">
        <v>296</v>
      </c>
      <c r="E100" s="114" t="s">
        <v>318</v>
      </c>
      <c r="F100" s="1"/>
    </row>
    <row r="101" spans="1:6" s="2" customFormat="1" x14ac:dyDescent="0.25">
      <c r="A101" s="129" t="s">
        <v>336</v>
      </c>
      <c r="B101" s="112">
        <v>34.43</v>
      </c>
      <c r="C101" s="113" t="s">
        <v>335</v>
      </c>
      <c r="D101" s="113" t="s">
        <v>297</v>
      </c>
      <c r="E101" s="114" t="s">
        <v>318</v>
      </c>
      <c r="F101" s="1"/>
    </row>
    <row r="102" spans="1:6" s="2" customFormat="1" x14ac:dyDescent="0.25">
      <c r="A102" s="129" t="s">
        <v>336</v>
      </c>
      <c r="B102" s="112">
        <f>48.47+48.62</f>
        <v>97.09</v>
      </c>
      <c r="C102" s="113" t="s">
        <v>335</v>
      </c>
      <c r="D102" s="113" t="s">
        <v>341</v>
      </c>
      <c r="E102" s="114" t="s">
        <v>318</v>
      </c>
      <c r="F102" s="1"/>
    </row>
    <row r="103" spans="1:6" s="2" customFormat="1" x14ac:dyDescent="0.25">
      <c r="A103" s="129">
        <v>46106</v>
      </c>
      <c r="B103" s="112">
        <f>130.43+152.17</f>
        <v>282.60000000000002</v>
      </c>
      <c r="C103" s="113" t="s">
        <v>335</v>
      </c>
      <c r="D103" s="113" t="s">
        <v>296</v>
      </c>
      <c r="E103" s="114" t="s">
        <v>370</v>
      </c>
      <c r="F103" s="1"/>
    </row>
    <row r="104" spans="1:6" s="2" customFormat="1" x14ac:dyDescent="0.25">
      <c r="A104" s="129">
        <v>46108</v>
      </c>
      <c r="B104" s="112">
        <v>209.26</v>
      </c>
      <c r="C104" s="113" t="s">
        <v>335</v>
      </c>
      <c r="D104" s="113" t="s">
        <v>296</v>
      </c>
      <c r="E104" s="114" t="s">
        <v>352</v>
      </c>
      <c r="F104" s="1"/>
    </row>
    <row r="105" spans="1:6" s="2" customFormat="1" x14ac:dyDescent="0.25">
      <c r="A105" s="129">
        <v>46111</v>
      </c>
      <c r="B105" s="112">
        <v>434.6</v>
      </c>
      <c r="C105" s="113" t="s">
        <v>382</v>
      </c>
      <c r="D105" s="113" t="s">
        <v>293</v>
      </c>
      <c r="E105" s="114" t="s">
        <v>313</v>
      </c>
      <c r="F105" s="1"/>
    </row>
    <row r="106" spans="1:6" s="2" customFormat="1" x14ac:dyDescent="0.25">
      <c r="A106" s="129">
        <v>46113</v>
      </c>
      <c r="B106" s="112">
        <v>434.6</v>
      </c>
      <c r="C106" s="113" t="s">
        <v>382</v>
      </c>
      <c r="D106" s="113" t="s">
        <v>293</v>
      </c>
      <c r="E106" s="114" t="s">
        <v>319</v>
      </c>
      <c r="F106" s="1"/>
    </row>
    <row r="107" spans="1:6" s="2" customFormat="1" x14ac:dyDescent="0.25">
      <c r="A107" s="129">
        <v>46119</v>
      </c>
      <c r="B107" s="112">
        <f>428.64+10</f>
        <v>438.64</v>
      </c>
      <c r="C107" s="113" t="s">
        <v>382</v>
      </c>
      <c r="D107" s="113" t="s">
        <v>293</v>
      </c>
      <c r="E107" s="114" t="s">
        <v>347</v>
      </c>
      <c r="F107" s="1"/>
    </row>
    <row r="108" spans="1:6" s="2" customFormat="1" x14ac:dyDescent="0.25">
      <c r="A108" s="129">
        <v>46119</v>
      </c>
      <c r="B108" s="112">
        <v>46.09</v>
      </c>
      <c r="C108" s="113" t="s">
        <v>382</v>
      </c>
      <c r="D108" s="113" t="s">
        <v>345</v>
      </c>
      <c r="E108" s="114" t="s">
        <v>347</v>
      </c>
      <c r="F108" s="1"/>
    </row>
    <row r="109" spans="1:6" s="2" customFormat="1" x14ac:dyDescent="0.25">
      <c r="A109" s="129">
        <v>46120</v>
      </c>
      <c r="B109" s="112">
        <f>449.09+10</f>
        <v>459.09</v>
      </c>
      <c r="C109" s="113" t="s">
        <v>382</v>
      </c>
      <c r="D109" s="113" t="s">
        <v>293</v>
      </c>
      <c r="E109" s="114" t="s">
        <v>320</v>
      </c>
      <c r="F109" s="1"/>
    </row>
    <row r="110" spans="1:6" s="2" customFormat="1" x14ac:dyDescent="0.25">
      <c r="A110" s="129" t="s">
        <v>344</v>
      </c>
      <c r="B110" s="112">
        <v>1079.79</v>
      </c>
      <c r="C110" s="113" t="s">
        <v>382</v>
      </c>
      <c r="D110" s="113" t="s">
        <v>293</v>
      </c>
      <c r="E110" s="114" t="s">
        <v>294</v>
      </c>
      <c r="F110" s="1"/>
    </row>
    <row r="111" spans="1:6" s="2" customFormat="1" x14ac:dyDescent="0.25">
      <c r="A111" s="129" t="s">
        <v>344</v>
      </c>
      <c r="B111" s="112">
        <v>74.78</v>
      </c>
      <c r="C111" s="113" t="s">
        <v>382</v>
      </c>
      <c r="D111" s="113" t="s">
        <v>345</v>
      </c>
      <c r="E111" s="114" t="s">
        <v>294</v>
      </c>
      <c r="F111" s="1"/>
    </row>
    <row r="112" spans="1:6" s="2" customFormat="1" x14ac:dyDescent="0.25">
      <c r="A112" s="129" t="s">
        <v>344</v>
      </c>
      <c r="B112" s="112">
        <v>217.95</v>
      </c>
      <c r="C112" s="113" t="s">
        <v>382</v>
      </c>
      <c r="D112" s="113" t="s">
        <v>296</v>
      </c>
      <c r="E112" s="114" t="s">
        <v>294</v>
      </c>
      <c r="F112" s="1"/>
    </row>
    <row r="113" spans="1:6" s="2" customFormat="1" x14ac:dyDescent="0.25">
      <c r="A113" s="129" t="s">
        <v>338</v>
      </c>
      <c r="B113" s="112">
        <f>355.94+80</f>
        <v>435.94</v>
      </c>
      <c r="C113" s="113" t="s">
        <v>372</v>
      </c>
      <c r="D113" s="113" t="s">
        <v>293</v>
      </c>
      <c r="E113" s="114" t="s">
        <v>298</v>
      </c>
      <c r="F113" s="1"/>
    </row>
    <row r="114" spans="1:6" s="2" customFormat="1" x14ac:dyDescent="0.25">
      <c r="A114" s="129" t="s">
        <v>338</v>
      </c>
      <c r="B114" s="112">
        <v>286.95999999999998</v>
      </c>
      <c r="C114" s="113" t="s">
        <v>372</v>
      </c>
      <c r="D114" s="113" t="s">
        <v>296</v>
      </c>
      <c r="E114" s="114" t="s">
        <v>298</v>
      </c>
      <c r="F114" s="1"/>
    </row>
    <row r="115" spans="1:6" s="2" customFormat="1" x14ac:dyDescent="0.25">
      <c r="A115" s="129" t="s">
        <v>338</v>
      </c>
      <c r="B115" s="112">
        <f>22.71+50.26</f>
        <v>72.97</v>
      </c>
      <c r="C115" s="113" t="s">
        <v>372</v>
      </c>
      <c r="D115" s="113" t="s">
        <v>341</v>
      </c>
      <c r="E115" s="114" t="s">
        <v>298</v>
      </c>
      <c r="F115" s="1"/>
    </row>
    <row r="116" spans="1:6" s="2" customFormat="1" x14ac:dyDescent="0.25">
      <c r="A116" s="129" t="s">
        <v>337</v>
      </c>
      <c r="B116" s="112">
        <f>424.27+113.86+10</f>
        <v>548.13</v>
      </c>
      <c r="C116" s="113" t="s">
        <v>331</v>
      </c>
      <c r="D116" s="113" t="s">
        <v>293</v>
      </c>
      <c r="E116" s="114" t="s">
        <v>298</v>
      </c>
      <c r="F116" s="1"/>
    </row>
    <row r="117" spans="1:6" s="2" customFormat="1" x14ac:dyDescent="0.25">
      <c r="A117" s="129" t="s">
        <v>337</v>
      </c>
      <c r="B117" s="112">
        <v>286.08999999999997</v>
      </c>
      <c r="C117" s="113" t="s">
        <v>331</v>
      </c>
      <c r="D117" s="113" t="s">
        <v>296</v>
      </c>
      <c r="E117" s="114" t="s">
        <v>298</v>
      </c>
      <c r="F117" s="1"/>
    </row>
    <row r="118" spans="1:6" s="2" customFormat="1" x14ac:dyDescent="0.25">
      <c r="A118" s="129" t="s">
        <v>337</v>
      </c>
      <c r="B118" s="112">
        <f>48.88+49</f>
        <v>97.88</v>
      </c>
      <c r="C118" s="113" t="s">
        <v>331</v>
      </c>
      <c r="D118" s="113" t="s">
        <v>341</v>
      </c>
      <c r="E118" s="114" t="s">
        <v>298</v>
      </c>
      <c r="F118" s="1"/>
    </row>
    <row r="119" spans="1:6" s="2" customFormat="1" x14ac:dyDescent="0.25">
      <c r="A119" s="129">
        <v>46167</v>
      </c>
      <c r="B119" s="112">
        <f>53.23+25+21.01</f>
        <v>99.24</v>
      </c>
      <c r="C119" s="113" t="s">
        <v>382</v>
      </c>
      <c r="D119" s="113" t="s">
        <v>293</v>
      </c>
      <c r="E119" s="114" t="s">
        <v>313</v>
      </c>
      <c r="F119" s="1"/>
    </row>
    <row r="120" spans="1:6" s="2" customFormat="1" x14ac:dyDescent="0.25">
      <c r="A120" s="129" t="s">
        <v>339</v>
      </c>
      <c r="B120" s="112">
        <f>10+352.58+89.41+10+90.43</f>
        <v>552.42000000000007</v>
      </c>
      <c r="C120" s="113" t="s">
        <v>331</v>
      </c>
      <c r="D120" s="113" t="s">
        <v>293</v>
      </c>
      <c r="E120" s="114" t="s">
        <v>298</v>
      </c>
      <c r="F120" s="1"/>
    </row>
    <row r="121" spans="1:6" s="2" customFormat="1" x14ac:dyDescent="0.25">
      <c r="A121" s="129" t="s">
        <v>339</v>
      </c>
      <c r="B121" s="112">
        <v>134.78</v>
      </c>
      <c r="C121" s="113" t="s">
        <v>331</v>
      </c>
      <c r="D121" s="113" t="s">
        <v>296</v>
      </c>
      <c r="E121" s="114" t="s">
        <v>298</v>
      </c>
      <c r="F121" s="1"/>
    </row>
    <row r="122" spans="1:6" s="2" customFormat="1" x14ac:dyDescent="0.25">
      <c r="A122" s="129" t="s">
        <v>339</v>
      </c>
      <c r="B122" s="112">
        <v>39.130000000000003</v>
      </c>
      <c r="C122" s="113" t="s">
        <v>331</v>
      </c>
      <c r="D122" s="113" t="s">
        <v>297</v>
      </c>
      <c r="E122" s="114" t="s">
        <v>298</v>
      </c>
      <c r="F122" s="1"/>
    </row>
    <row r="123" spans="1:6" s="2" customFormat="1" x14ac:dyDescent="0.25">
      <c r="A123" s="129" t="s">
        <v>339</v>
      </c>
      <c r="B123" s="112">
        <v>51.35</v>
      </c>
      <c r="C123" s="113" t="s">
        <v>331</v>
      </c>
      <c r="D123" s="113" t="s">
        <v>341</v>
      </c>
      <c r="E123" s="114" t="s">
        <v>298</v>
      </c>
      <c r="F123" s="1"/>
    </row>
    <row r="124" spans="1:6" s="2" customFormat="1" x14ac:dyDescent="0.25">
      <c r="A124" s="129" t="s">
        <v>321</v>
      </c>
      <c r="B124" s="112">
        <f>482.46+106.95</f>
        <v>589.41</v>
      </c>
      <c r="C124" s="113" t="s">
        <v>374</v>
      </c>
      <c r="D124" s="113" t="s">
        <v>293</v>
      </c>
      <c r="E124" s="114" t="s">
        <v>373</v>
      </c>
      <c r="F124" s="1"/>
    </row>
    <row r="125" spans="1:6" s="2" customFormat="1" x14ac:dyDescent="0.25">
      <c r="A125" s="129" t="s">
        <v>321</v>
      </c>
      <c r="B125" s="112">
        <v>271.3</v>
      </c>
      <c r="C125" s="113" t="s">
        <v>383</v>
      </c>
      <c r="D125" s="113" t="s">
        <v>296</v>
      </c>
      <c r="E125" s="114" t="s">
        <v>298</v>
      </c>
      <c r="F125" s="1"/>
    </row>
    <row r="126" spans="1:6" s="2" customFormat="1" x14ac:dyDescent="0.25">
      <c r="A126" s="129" t="s">
        <v>321</v>
      </c>
      <c r="B126" s="112">
        <v>47.93</v>
      </c>
      <c r="C126" s="113" t="s">
        <v>383</v>
      </c>
      <c r="D126" s="113" t="s">
        <v>297</v>
      </c>
      <c r="E126" s="114" t="s">
        <v>298</v>
      </c>
      <c r="F126" s="1"/>
    </row>
    <row r="127" spans="1:6" s="2" customFormat="1" x14ac:dyDescent="0.25">
      <c r="A127" s="129" t="s">
        <v>321</v>
      </c>
      <c r="B127" s="112">
        <f>49.27+49.81</f>
        <v>99.080000000000013</v>
      </c>
      <c r="C127" s="113" t="s">
        <v>383</v>
      </c>
      <c r="D127" s="113" t="s">
        <v>341</v>
      </c>
      <c r="E127" s="114" t="s">
        <v>298</v>
      </c>
      <c r="F127" s="1"/>
    </row>
    <row r="128" spans="1:6" s="2" customFormat="1" x14ac:dyDescent="0.25">
      <c r="A128" s="129" t="s">
        <v>340</v>
      </c>
      <c r="B128" s="112">
        <f>276.53+32.02</f>
        <v>308.54999999999995</v>
      </c>
      <c r="C128" s="113" t="s">
        <v>375</v>
      </c>
      <c r="D128" s="113" t="s">
        <v>293</v>
      </c>
      <c r="E128" s="114" t="s">
        <v>298</v>
      </c>
      <c r="F128" s="1"/>
    </row>
    <row r="129" spans="1:6" s="2" customFormat="1" x14ac:dyDescent="0.25">
      <c r="A129" s="129" t="s">
        <v>340</v>
      </c>
      <c r="B129" s="112">
        <v>269.56</v>
      </c>
      <c r="C129" s="113" t="s">
        <v>375</v>
      </c>
      <c r="D129" s="113" t="s">
        <v>296</v>
      </c>
      <c r="E129" s="114" t="s">
        <v>298</v>
      </c>
      <c r="F129" s="1"/>
    </row>
    <row r="130" spans="1:6" s="2" customFormat="1" x14ac:dyDescent="0.25">
      <c r="A130" s="129" t="s">
        <v>340</v>
      </c>
      <c r="B130" s="112">
        <v>46.58</v>
      </c>
      <c r="C130" s="113" t="s">
        <v>375</v>
      </c>
      <c r="D130" s="113" t="s">
        <v>297</v>
      </c>
      <c r="E130" s="114" t="s">
        <v>298</v>
      </c>
      <c r="F130" s="1"/>
    </row>
    <row r="131" spans="1:6" s="2" customFormat="1" x14ac:dyDescent="0.25">
      <c r="A131" s="129" t="s">
        <v>340</v>
      </c>
      <c r="B131" s="112">
        <f>48.37+49.13+8.45+22.54</f>
        <v>128.49</v>
      </c>
      <c r="C131" s="113" t="s">
        <v>375</v>
      </c>
      <c r="D131" s="113" t="s">
        <v>341</v>
      </c>
      <c r="E131" s="114" t="s">
        <v>298</v>
      </c>
      <c r="F131" s="1"/>
    </row>
    <row r="132" spans="1:6" s="2" customFormat="1" x14ac:dyDescent="0.25">
      <c r="A132" s="129" t="s">
        <v>322</v>
      </c>
      <c r="B132" s="112">
        <f>252.2+151.31</f>
        <v>403.51</v>
      </c>
      <c r="C132" s="113" t="s">
        <v>384</v>
      </c>
      <c r="D132" s="113" t="s">
        <v>293</v>
      </c>
      <c r="E132" s="114" t="s">
        <v>298</v>
      </c>
      <c r="F132" s="1"/>
    </row>
    <row r="133" spans="1:6" s="2" customFormat="1" x14ac:dyDescent="0.25">
      <c r="A133" s="129" t="s">
        <v>322</v>
      </c>
      <c r="B133" s="112">
        <v>58.44</v>
      </c>
      <c r="C133" s="113" t="s">
        <v>384</v>
      </c>
      <c r="D133" s="113" t="s">
        <v>297</v>
      </c>
      <c r="E133" s="114" t="s">
        <v>298</v>
      </c>
      <c r="F133" s="1"/>
    </row>
    <row r="134" spans="1:6" s="2" customFormat="1" x14ac:dyDescent="0.25">
      <c r="A134" s="129" t="s">
        <v>322</v>
      </c>
      <c r="B134" s="112">
        <v>48.64</v>
      </c>
      <c r="C134" s="113" t="s">
        <v>384</v>
      </c>
      <c r="D134" s="113" t="s">
        <v>341</v>
      </c>
      <c r="E134" s="114" t="s">
        <v>298</v>
      </c>
      <c r="F134" s="1"/>
    </row>
    <row r="135" spans="1:6" s="2" customFormat="1" x14ac:dyDescent="0.25">
      <c r="A135" s="129"/>
      <c r="B135" s="112"/>
      <c r="C135" s="113"/>
      <c r="D135" s="113"/>
      <c r="E135" s="114"/>
      <c r="F135" s="1"/>
    </row>
    <row r="136" spans="1:6" s="2" customFormat="1" hidden="1" x14ac:dyDescent="0.25">
      <c r="A136" s="136"/>
      <c r="B136" s="103"/>
      <c r="C136" s="104"/>
      <c r="D136" s="104"/>
      <c r="E136" s="105"/>
      <c r="F136" s="1"/>
    </row>
    <row r="137" spans="1:6" ht="19.5" customHeight="1" x14ac:dyDescent="0.25">
      <c r="A137" s="134" t="s">
        <v>123</v>
      </c>
      <c r="B137" s="69">
        <f>SUM(B26:B136)</f>
        <v>28004.829999999994</v>
      </c>
      <c r="C137" s="122" t="str">
        <f>IF(SUBTOTAL(3,B26:B136)=SUBTOTAL(103,B26:B136),'Summary and sign-off'!$A$48,'Summary and sign-off'!$A$49)</f>
        <v>Check - there are no hidden rows with data</v>
      </c>
      <c r="D137" s="151" t="str">
        <f>IF('Summary and sign-off'!F56='Summary and sign-off'!F54,'Summary and sign-off'!A51,'Summary and sign-off'!A50)</f>
        <v>Check - each entry provides sufficient information</v>
      </c>
      <c r="E137" s="151"/>
      <c r="F137" s="17"/>
    </row>
    <row r="138" spans="1:6" ht="10.5" customHeight="1" x14ac:dyDescent="0.25">
      <c r="A138" s="135"/>
      <c r="B138" s="19"/>
      <c r="C138" s="17"/>
      <c r="D138" s="17"/>
      <c r="E138" s="17"/>
      <c r="F138" s="17"/>
    </row>
    <row r="139" spans="1:6" ht="24.75" customHeight="1" x14ac:dyDescent="0.25">
      <c r="A139" s="153" t="s">
        <v>124</v>
      </c>
      <c r="B139" s="153"/>
      <c r="C139" s="153"/>
      <c r="D139" s="153"/>
      <c r="E139" s="153"/>
      <c r="F139" s="17"/>
    </row>
    <row r="140" spans="1:6" ht="27" customHeight="1" x14ac:dyDescent="0.25">
      <c r="A140" s="131" t="s">
        <v>115</v>
      </c>
      <c r="B140" s="24" t="s">
        <v>59</v>
      </c>
      <c r="C140" s="24" t="s">
        <v>125</v>
      </c>
      <c r="D140" s="24" t="s">
        <v>126</v>
      </c>
      <c r="E140" s="24" t="s">
        <v>119</v>
      </c>
      <c r="F140" s="28"/>
    </row>
    <row r="141" spans="1:6" s="2" customFormat="1" x14ac:dyDescent="0.25">
      <c r="A141" s="129">
        <v>45912</v>
      </c>
      <c r="B141" s="112">
        <f>32.77+34.98</f>
        <v>67.75</v>
      </c>
      <c r="C141" s="113" t="s">
        <v>361</v>
      </c>
      <c r="D141" s="113" t="s">
        <v>341</v>
      </c>
      <c r="E141" s="114" t="s">
        <v>346</v>
      </c>
      <c r="F141" s="1"/>
    </row>
    <row r="142" spans="1:6" s="2" customFormat="1" x14ac:dyDescent="0.25">
      <c r="A142" s="129">
        <v>45999</v>
      </c>
      <c r="B142" s="112">
        <v>9.77</v>
      </c>
      <c r="C142" s="113" t="s">
        <v>363</v>
      </c>
      <c r="D142" s="113" t="s">
        <v>341</v>
      </c>
      <c r="E142" s="114" t="s">
        <v>346</v>
      </c>
      <c r="F142" s="1"/>
    </row>
    <row r="143" spans="1:6" s="2" customFormat="1" x14ac:dyDescent="0.25">
      <c r="A143" s="129"/>
      <c r="B143" s="112"/>
      <c r="C143" s="113"/>
      <c r="D143" s="113"/>
      <c r="E143" s="114"/>
      <c r="F143" s="1"/>
    </row>
    <row r="144" spans="1:6" s="2" customFormat="1" x14ac:dyDescent="0.25">
      <c r="A144" s="129"/>
      <c r="B144" s="112"/>
      <c r="C144" s="113"/>
      <c r="D144" s="113"/>
      <c r="E144" s="114"/>
      <c r="F144" s="1"/>
    </row>
    <row r="145" spans="1:6" s="2" customFormat="1" x14ac:dyDescent="0.25">
      <c r="A145" s="129"/>
      <c r="B145" s="112"/>
      <c r="C145" s="113"/>
      <c r="D145" s="113"/>
      <c r="E145" s="114"/>
      <c r="F145" s="1"/>
    </row>
    <row r="146" spans="1:6" s="2" customFormat="1" x14ac:dyDescent="0.25">
      <c r="A146" s="129"/>
      <c r="B146" s="112"/>
      <c r="C146" s="113"/>
      <c r="D146" s="113"/>
      <c r="E146" s="114"/>
      <c r="F146" s="1"/>
    </row>
    <row r="147" spans="1:6" s="2" customFormat="1" x14ac:dyDescent="0.25">
      <c r="A147" s="129"/>
      <c r="B147" s="112"/>
      <c r="C147" s="113"/>
      <c r="D147" s="113"/>
      <c r="E147" s="114"/>
      <c r="F147" s="1"/>
    </row>
    <row r="148" spans="1:6" s="2" customFormat="1" x14ac:dyDescent="0.25">
      <c r="A148" s="129"/>
      <c r="B148" s="112"/>
      <c r="C148" s="113"/>
      <c r="D148" s="113"/>
      <c r="E148" s="114"/>
      <c r="F148" s="1"/>
    </row>
    <row r="149" spans="1:6" s="2" customFormat="1" x14ac:dyDescent="0.25">
      <c r="A149" s="129"/>
      <c r="B149" s="112"/>
      <c r="C149" s="113"/>
      <c r="D149" s="113"/>
      <c r="E149" s="114"/>
      <c r="F149" s="1"/>
    </row>
    <row r="150" spans="1:6" s="2" customFormat="1" hidden="1" x14ac:dyDescent="0.25">
      <c r="A150" s="137"/>
      <c r="B150" s="92"/>
      <c r="C150" s="93"/>
      <c r="D150" s="93"/>
      <c r="E150" s="94"/>
      <c r="F150" s="1"/>
    </row>
    <row r="151" spans="1:6" ht="19.5" customHeight="1" x14ac:dyDescent="0.25">
      <c r="A151" s="134" t="s">
        <v>127</v>
      </c>
      <c r="B151" s="69">
        <f>SUM(B141:B150)</f>
        <v>77.52</v>
      </c>
      <c r="C151" s="122" t="str">
        <f>IF(SUBTOTAL(3,B141:B150)=SUBTOTAL(103,B141:B150),'Summary and sign-off'!$A$48,'Summary and sign-off'!$A$49)</f>
        <v>Check - there are no hidden rows with data</v>
      </c>
      <c r="D151" s="151" t="str">
        <f>IF('Summary and sign-off'!F57='Summary and sign-off'!F54,'Summary and sign-off'!A51,'Summary and sign-off'!A50)</f>
        <v>Check - each entry provides sufficient information</v>
      </c>
      <c r="E151" s="151"/>
      <c r="F151" s="17"/>
    </row>
    <row r="152" spans="1:6" ht="10.5" customHeight="1" x14ac:dyDescent="0.25">
      <c r="A152" s="135"/>
      <c r="B152" s="55"/>
      <c r="C152" s="19"/>
      <c r="D152" s="17"/>
      <c r="E152" s="17"/>
      <c r="F152" s="17"/>
    </row>
    <row r="153" spans="1:6" ht="34.5" customHeight="1" x14ac:dyDescent="0.25">
      <c r="A153" s="138" t="s">
        <v>128</v>
      </c>
      <c r="B153" s="56">
        <f>B22+B137+B151</f>
        <v>28082.349999999995</v>
      </c>
      <c r="C153" s="31"/>
      <c r="D153" s="31"/>
      <c r="E153" s="31"/>
      <c r="F153" s="17"/>
    </row>
    <row r="154" spans="1:6" x14ac:dyDescent="0.25">
      <c r="A154" s="135"/>
      <c r="B154" s="19"/>
      <c r="C154" s="17"/>
      <c r="D154" s="17"/>
      <c r="E154" s="17"/>
      <c r="F154" s="17"/>
    </row>
    <row r="155" spans="1:6" x14ac:dyDescent="0.25">
      <c r="A155" s="139" t="s">
        <v>70</v>
      </c>
      <c r="B155" s="19"/>
      <c r="C155" s="17"/>
      <c r="D155" s="17"/>
      <c r="E155" s="17"/>
      <c r="F155" s="17"/>
    </row>
    <row r="156" spans="1:6" ht="12.6" customHeight="1" x14ac:dyDescent="0.25">
      <c r="A156" s="140" t="s">
        <v>129</v>
      </c>
      <c r="F156" s="17"/>
    </row>
    <row r="157" spans="1:6" ht="12.9" customHeight="1" x14ac:dyDescent="0.25">
      <c r="A157" s="140" t="s">
        <v>130</v>
      </c>
      <c r="B157" s="17"/>
      <c r="D157" s="17"/>
      <c r="F157" s="17"/>
    </row>
    <row r="158" spans="1:6" x14ac:dyDescent="0.25">
      <c r="A158" s="140" t="s">
        <v>131</v>
      </c>
      <c r="F158" s="17"/>
    </row>
    <row r="159" spans="1:6" x14ac:dyDescent="0.25">
      <c r="A159" s="140" t="s">
        <v>76</v>
      </c>
      <c r="B159" s="19"/>
      <c r="C159" s="17"/>
      <c r="D159" s="17"/>
      <c r="E159" s="17"/>
      <c r="F159" s="17"/>
    </row>
    <row r="160" spans="1:6" ht="12.9" customHeight="1" x14ac:dyDescent="0.25">
      <c r="A160" s="140" t="s">
        <v>132</v>
      </c>
      <c r="B160" s="17"/>
      <c r="D160" s="17"/>
      <c r="F160" s="17"/>
    </row>
    <row r="161" spans="1:6" x14ac:dyDescent="0.25">
      <c r="A161" s="140" t="s">
        <v>133</v>
      </c>
      <c r="F161" s="17"/>
    </row>
    <row r="162" spans="1:6" x14ac:dyDescent="0.25">
      <c r="A162" s="140" t="s">
        <v>134</v>
      </c>
      <c r="B162" s="20"/>
      <c r="C162" s="20"/>
      <c r="D162" s="20"/>
      <c r="F162" s="17"/>
    </row>
    <row r="163" spans="1:6" x14ac:dyDescent="0.25">
      <c r="A163" s="141"/>
      <c r="B163" s="17"/>
      <c r="C163" s="17"/>
      <c r="D163" s="17"/>
      <c r="E163" s="17"/>
      <c r="F163" s="17"/>
    </row>
    <row r="164" spans="1:6" hidden="1" x14ac:dyDescent="0.25">
      <c r="A164" s="141"/>
      <c r="B164" s="17"/>
      <c r="C164" s="17"/>
      <c r="D164" s="17"/>
      <c r="E164" s="17"/>
      <c r="F164" s="17"/>
    </row>
    <row r="165" spans="1:6" x14ac:dyDescent="0.25"/>
    <row r="166" spans="1:6" x14ac:dyDescent="0.25"/>
    <row r="167" spans="1:6" x14ac:dyDescent="0.25"/>
    <row r="168" spans="1:6" x14ac:dyDescent="0.25"/>
    <row r="169" spans="1:6" ht="12.75" hidden="1" customHeight="1" x14ac:dyDescent="0.25"/>
    <row r="170" spans="1:6" x14ac:dyDescent="0.25"/>
    <row r="171" spans="1:6" x14ac:dyDescent="0.25"/>
    <row r="172" spans="1:6" hidden="1" x14ac:dyDescent="0.25">
      <c r="A172" s="141"/>
      <c r="B172" s="17"/>
      <c r="C172" s="17"/>
      <c r="D172" s="17"/>
      <c r="E172" s="17"/>
      <c r="F172" s="17"/>
    </row>
    <row r="173" spans="1:6" hidden="1" x14ac:dyDescent="0.25">
      <c r="A173" s="141"/>
      <c r="B173" s="17"/>
      <c r="C173" s="17"/>
      <c r="D173" s="17"/>
      <c r="E173" s="17"/>
      <c r="F173" s="17"/>
    </row>
    <row r="174" spans="1:6" hidden="1" x14ac:dyDescent="0.25">
      <c r="A174" s="141"/>
      <c r="B174" s="17"/>
      <c r="C174" s="17"/>
      <c r="D174" s="17"/>
      <c r="E174" s="17"/>
      <c r="F174" s="17"/>
    </row>
    <row r="175" spans="1:6" hidden="1" x14ac:dyDescent="0.25">
      <c r="A175" s="141"/>
      <c r="B175" s="17"/>
      <c r="C175" s="17"/>
      <c r="D175" s="17"/>
      <c r="E175" s="17"/>
      <c r="F175" s="17"/>
    </row>
    <row r="176" spans="1:6" hidden="1" x14ac:dyDescent="0.25">
      <c r="A176" s="141"/>
      <c r="B176" s="17"/>
      <c r="C176" s="17"/>
      <c r="D176" s="17"/>
      <c r="E176" s="17"/>
      <c r="F176" s="17"/>
    </row>
    <row r="177" x14ac:dyDescent="0.25"/>
  </sheetData>
  <sheetProtection formatCells="0" formatRows="0" insertColumns="0" insertRows="0" deleteRows="0"/>
  <mergeCells count="15">
    <mergeCell ref="B7:E7"/>
    <mergeCell ref="B5:E5"/>
    <mergeCell ref="D151:E151"/>
    <mergeCell ref="A1:E1"/>
    <mergeCell ref="A24:E24"/>
    <mergeCell ref="A139:E139"/>
    <mergeCell ref="B2:E2"/>
    <mergeCell ref="B3:E3"/>
    <mergeCell ref="B4:E4"/>
    <mergeCell ref="A8:E8"/>
    <mergeCell ref="A9:E9"/>
    <mergeCell ref="B6:E6"/>
    <mergeCell ref="D22:E22"/>
    <mergeCell ref="D137:E137"/>
    <mergeCell ref="A10:E10"/>
  </mergeCells>
  <phoneticPr fontId="39" type="noConversion"/>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A28 A135:A136 A12 A21 A141 A150"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40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0 A142:A149 A29:A134"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B141:B150 B12:B21 B26:B136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A15" sqref="A15"/>
    </sheetView>
  </sheetViews>
  <sheetFormatPr defaultColWidth="0" defaultRowHeight="13.2" zeroHeight="1" x14ac:dyDescent="0.25"/>
  <cols>
    <col min="1" max="1" width="35.6640625" customWidth="1"/>
    <col min="2" max="2" width="14.33203125" customWidth="1"/>
    <col min="3" max="3" width="71.44140625" customWidth="1"/>
    <col min="4" max="4" width="50" customWidth="1"/>
    <col min="5" max="5" width="21.44140625" customWidth="1"/>
    <col min="6" max="6" width="39.33203125" customWidth="1"/>
    <col min="7" max="10" width="9.109375" hidden="1" customWidth="1"/>
    <col min="11" max="13" width="0" hidden="1" customWidth="1"/>
  </cols>
  <sheetData>
    <row r="1" spans="1:6" ht="26.25" customHeight="1" x14ac:dyDescent="0.25">
      <c r="A1" s="152" t="s">
        <v>106</v>
      </c>
      <c r="B1" s="152"/>
      <c r="C1" s="152"/>
      <c r="D1" s="152"/>
      <c r="E1" s="152"/>
    </row>
    <row r="2" spans="1:6" ht="21" customHeight="1" x14ac:dyDescent="0.25">
      <c r="A2" s="3" t="s">
        <v>107</v>
      </c>
      <c r="B2" s="150" t="str">
        <f>'Summary and sign-off'!B2:F2</f>
        <v>Arts Council of New Zealand (Creative NZ)</v>
      </c>
      <c r="C2" s="150"/>
      <c r="D2" s="150"/>
      <c r="E2" s="150"/>
    </row>
    <row r="3" spans="1:6" ht="31.2" x14ac:dyDescent="0.25">
      <c r="A3" s="3" t="s">
        <v>108</v>
      </c>
      <c r="B3" s="150" t="str">
        <f>'Summary and sign-off'!B3:F3</f>
        <v>Gretchen La Roche</v>
      </c>
      <c r="C3" s="150"/>
      <c r="D3" s="150"/>
      <c r="E3" s="150"/>
    </row>
    <row r="4" spans="1:6" ht="21" customHeight="1" x14ac:dyDescent="0.25">
      <c r="A4" s="3" t="s">
        <v>109</v>
      </c>
      <c r="B4" s="150">
        <f>'Summary and sign-off'!B4:F4</f>
        <v>45839</v>
      </c>
      <c r="C4" s="150"/>
      <c r="D4" s="150"/>
      <c r="E4" s="150"/>
    </row>
    <row r="5" spans="1:6" ht="21" customHeight="1" x14ac:dyDescent="0.25">
      <c r="A5" s="3" t="s">
        <v>110</v>
      </c>
      <c r="B5" s="150">
        <f>'Summary and sign-off'!B5:F5</f>
        <v>46203</v>
      </c>
      <c r="C5" s="150"/>
      <c r="D5" s="150"/>
      <c r="E5" s="150"/>
    </row>
    <row r="6" spans="1:6" ht="21" customHeight="1" x14ac:dyDescent="0.25">
      <c r="A6" s="3" t="s">
        <v>111</v>
      </c>
      <c r="B6" s="145" t="s">
        <v>78</v>
      </c>
      <c r="C6" s="145"/>
      <c r="D6" s="145"/>
      <c r="E6" s="145"/>
    </row>
    <row r="7" spans="1:6" ht="21" customHeight="1" x14ac:dyDescent="0.25">
      <c r="A7" s="3" t="s">
        <v>52</v>
      </c>
      <c r="B7" s="145" t="s">
        <v>80</v>
      </c>
      <c r="C7" s="145"/>
      <c r="D7" s="145"/>
      <c r="E7" s="145"/>
    </row>
    <row r="8" spans="1:6" ht="35.25" customHeight="1" x14ac:dyDescent="0.3">
      <c r="A8" s="161" t="s">
        <v>135</v>
      </c>
      <c r="B8" s="161"/>
      <c r="C8" s="162"/>
      <c r="D8" s="162"/>
      <c r="E8" s="162"/>
      <c r="F8" s="27"/>
    </row>
    <row r="9" spans="1:6" ht="35.25" customHeight="1" x14ac:dyDescent="0.3">
      <c r="A9" s="159" t="s">
        <v>136</v>
      </c>
      <c r="B9" s="160"/>
      <c r="C9" s="160"/>
      <c r="D9" s="160"/>
      <c r="E9" s="160"/>
      <c r="F9" s="27"/>
    </row>
    <row r="10" spans="1:6" ht="27" customHeight="1" x14ac:dyDescent="0.25">
      <c r="A10" s="24" t="s">
        <v>137</v>
      </c>
      <c r="B10" s="24" t="s">
        <v>59</v>
      </c>
      <c r="C10" s="24" t="s">
        <v>138</v>
      </c>
      <c r="D10" s="24" t="s">
        <v>139</v>
      </c>
      <c r="E10" s="24" t="s">
        <v>119</v>
      </c>
      <c r="F10" s="20"/>
    </row>
    <row r="11" spans="1:6" s="2" customFormat="1" ht="26.4" x14ac:dyDescent="0.25">
      <c r="A11" s="115">
        <v>45918</v>
      </c>
      <c r="B11" s="112">
        <v>38.700000000000003</v>
      </c>
      <c r="C11" s="116" t="s">
        <v>328</v>
      </c>
      <c r="D11" s="116" t="s">
        <v>358</v>
      </c>
      <c r="E11" s="117" t="s">
        <v>298</v>
      </c>
    </row>
    <row r="12" spans="1:6" s="2" customFormat="1" x14ac:dyDescent="0.25">
      <c r="A12" s="111">
        <v>45940</v>
      </c>
      <c r="B12" s="112">
        <v>11.97</v>
      </c>
      <c r="C12" s="116" t="s">
        <v>324</v>
      </c>
      <c r="D12" s="116" t="s">
        <v>359</v>
      </c>
      <c r="E12" s="117" t="s">
        <v>294</v>
      </c>
    </row>
    <row r="13" spans="1:6" s="2" customFormat="1" x14ac:dyDescent="0.25">
      <c r="A13" s="111">
        <v>46076</v>
      </c>
      <c r="B13" s="112">
        <v>27.86</v>
      </c>
      <c r="C13" s="116" t="s">
        <v>357</v>
      </c>
      <c r="D13" s="116" t="s">
        <v>360</v>
      </c>
      <c r="E13" s="117" t="s">
        <v>346</v>
      </c>
    </row>
    <row r="14" spans="1:6" s="2" customFormat="1" x14ac:dyDescent="0.25">
      <c r="A14" s="111">
        <v>46092</v>
      </c>
      <c r="B14" s="112">
        <v>43.83</v>
      </c>
      <c r="C14" s="116" t="s">
        <v>364</v>
      </c>
      <c r="D14" s="116" t="s">
        <v>358</v>
      </c>
      <c r="E14" s="117" t="s">
        <v>298</v>
      </c>
    </row>
    <row r="15" spans="1:6" s="2" customFormat="1" x14ac:dyDescent="0.25">
      <c r="A15" s="111">
        <v>46178</v>
      </c>
      <c r="B15" s="112">
        <v>50.68</v>
      </c>
      <c r="C15" s="116" t="s">
        <v>377</v>
      </c>
      <c r="D15" s="116" t="s">
        <v>358</v>
      </c>
      <c r="E15" s="117" t="s">
        <v>346</v>
      </c>
    </row>
    <row r="16" spans="1:6" s="2" customFormat="1" x14ac:dyDescent="0.25">
      <c r="A16" s="111"/>
      <c r="B16" s="112"/>
      <c r="C16" s="116"/>
      <c r="D16" s="116"/>
      <c r="E16" s="117"/>
    </row>
    <row r="17" spans="1:6" s="2" customFormat="1" x14ac:dyDescent="0.25">
      <c r="A17" s="111"/>
      <c r="B17" s="112"/>
      <c r="C17" s="116"/>
      <c r="D17" s="116"/>
      <c r="E17" s="117"/>
    </row>
    <row r="18" spans="1:6" s="2" customFormat="1" x14ac:dyDescent="0.25">
      <c r="A18" s="111"/>
      <c r="B18" s="112"/>
      <c r="C18" s="116"/>
      <c r="D18" s="116"/>
      <c r="E18" s="117"/>
    </row>
    <row r="19" spans="1:6" s="2" customFormat="1" x14ac:dyDescent="0.25">
      <c r="A19" s="111"/>
      <c r="B19" s="112"/>
      <c r="C19" s="116"/>
      <c r="D19" s="116"/>
      <c r="E19" s="117"/>
    </row>
    <row r="20" spans="1:6" s="2" customFormat="1" x14ac:dyDescent="0.25">
      <c r="A20" s="111"/>
      <c r="B20" s="112"/>
      <c r="C20" s="116"/>
      <c r="D20" s="116"/>
      <c r="E20" s="117"/>
    </row>
    <row r="21" spans="1:6" s="2" customFormat="1" x14ac:dyDescent="0.25">
      <c r="A21" s="111"/>
      <c r="B21" s="112"/>
      <c r="C21" s="116"/>
      <c r="D21" s="116"/>
      <c r="E21" s="117"/>
    </row>
    <row r="22" spans="1:6" s="2" customFormat="1" x14ac:dyDescent="0.25">
      <c r="A22" s="115"/>
      <c r="B22" s="112"/>
      <c r="C22" s="116"/>
      <c r="D22" s="116"/>
      <c r="E22" s="117"/>
    </row>
    <row r="23" spans="1:6" s="2" customFormat="1" x14ac:dyDescent="0.25">
      <c r="A23" s="115"/>
      <c r="B23" s="112"/>
      <c r="C23" s="116"/>
      <c r="D23" s="116"/>
      <c r="E23" s="117"/>
    </row>
    <row r="24" spans="1:6" s="2" customFormat="1" ht="11.25" hidden="1" customHeight="1" x14ac:dyDescent="0.25">
      <c r="A24" s="95"/>
      <c r="B24" s="92"/>
      <c r="C24" s="96"/>
      <c r="D24" s="96"/>
      <c r="E24" s="97"/>
    </row>
    <row r="25" spans="1:6" ht="34.5" customHeight="1" x14ac:dyDescent="0.25">
      <c r="A25" s="51" t="s">
        <v>140</v>
      </c>
      <c r="B25" s="60">
        <f>SUM(B11:B24)</f>
        <v>173.04</v>
      </c>
      <c r="C25" s="68" t="str">
        <f>IF(SUBTOTAL(3,B11:B24)=SUBTOTAL(103,B11:B24),'Summary and sign-off'!$A$48,'Summary and sign-off'!$A$49)</f>
        <v>Check - there are no hidden rows with data</v>
      </c>
      <c r="D25" s="151" t="str">
        <f>IF('Summary and sign-off'!F58='Summary and sign-off'!F54,'Summary and sign-off'!A51,'Summary and sign-off'!A50)</f>
        <v>Check - each entry provides sufficient information</v>
      </c>
      <c r="E25" s="151"/>
      <c r="F25" s="2"/>
    </row>
    <row r="26" spans="1:6" x14ac:dyDescent="0.25">
      <c r="A26" s="18"/>
      <c r="B26" s="17"/>
      <c r="C26" s="17"/>
      <c r="D26" s="17"/>
      <c r="E26" s="17"/>
    </row>
    <row r="27" spans="1:6" x14ac:dyDescent="0.25">
      <c r="A27" s="18" t="s">
        <v>70</v>
      </c>
      <c r="B27" s="19"/>
      <c r="C27" s="17"/>
      <c r="D27" s="17"/>
      <c r="E27" s="17"/>
    </row>
    <row r="28" spans="1:6" ht="12.75" customHeight="1" x14ac:dyDescent="0.25">
      <c r="A28" s="20" t="s">
        <v>141</v>
      </c>
      <c r="B28" s="20"/>
      <c r="C28" s="20"/>
      <c r="D28" s="20"/>
      <c r="E28" s="20"/>
    </row>
    <row r="29" spans="1:6" x14ac:dyDescent="0.25">
      <c r="A29" s="20" t="s">
        <v>142</v>
      </c>
      <c r="B29" s="20"/>
      <c r="C29" s="28"/>
      <c r="D29" s="28"/>
      <c r="E29" s="28"/>
    </row>
    <row r="30" spans="1:6" x14ac:dyDescent="0.25">
      <c r="A30" s="20" t="s">
        <v>76</v>
      </c>
      <c r="B30" s="19"/>
      <c r="C30" s="17"/>
      <c r="D30" s="17"/>
      <c r="E30" s="17"/>
      <c r="F30" s="17"/>
    </row>
    <row r="31" spans="1:6" x14ac:dyDescent="0.25">
      <c r="A31" s="20" t="s">
        <v>143</v>
      </c>
      <c r="B31" s="20"/>
      <c r="C31" s="28"/>
      <c r="D31" s="28"/>
      <c r="E31" s="28"/>
    </row>
    <row r="32" spans="1:6" ht="12.75" customHeight="1" x14ac:dyDescent="0.25">
      <c r="A32" s="20" t="s">
        <v>144</v>
      </c>
      <c r="B32" s="20"/>
      <c r="C32" s="22"/>
      <c r="D32" s="22"/>
      <c r="E32" s="22"/>
    </row>
    <row r="33" spans="1:5" x14ac:dyDescent="0.25">
      <c r="A33" s="17"/>
      <c r="B33" s="17"/>
      <c r="C33" s="17"/>
      <c r="D33" s="17"/>
      <c r="E33" s="17"/>
    </row>
  </sheetData>
  <sheetProtection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Normal="100" workbookViewId="0">
      <selection activeCell="C13" sqref="C13"/>
    </sheetView>
  </sheetViews>
  <sheetFormatPr defaultColWidth="0" defaultRowHeight="13.2" zeroHeight="1" x14ac:dyDescent="0.25"/>
  <cols>
    <col min="1" max="1" width="35.6640625" customWidth="1"/>
    <col min="2" max="2" width="14.33203125" customWidth="1"/>
    <col min="3" max="3" width="71.44140625" customWidth="1"/>
    <col min="4" max="4" width="50" customWidth="1"/>
    <col min="5" max="5" width="21.44140625" customWidth="1"/>
    <col min="6" max="6" width="36.88671875" customWidth="1"/>
    <col min="7" max="10" width="9.109375" hidden="1" customWidth="1"/>
    <col min="11" max="13" width="0" hidden="1" customWidth="1"/>
    <col min="14" max="16384" width="9.109375" hidden="1"/>
  </cols>
  <sheetData>
    <row r="1" spans="1:6" ht="26.25" customHeight="1" x14ac:dyDescent="0.25">
      <c r="A1" s="152" t="s">
        <v>106</v>
      </c>
      <c r="B1" s="152"/>
      <c r="C1" s="152"/>
      <c r="D1" s="152"/>
      <c r="E1" s="152"/>
    </row>
    <row r="2" spans="1:6" ht="21" customHeight="1" x14ac:dyDescent="0.25">
      <c r="A2" s="3" t="s">
        <v>107</v>
      </c>
      <c r="B2" s="150" t="str">
        <f>'Summary and sign-off'!B2:F2</f>
        <v>Arts Council of New Zealand (Creative NZ)</v>
      </c>
      <c r="C2" s="150"/>
      <c r="D2" s="150"/>
      <c r="E2" s="150"/>
    </row>
    <row r="3" spans="1:6" ht="31.2" x14ac:dyDescent="0.25">
      <c r="A3" s="3" t="s">
        <v>145</v>
      </c>
      <c r="B3" s="150" t="str">
        <f>'Summary and sign-off'!B3:F3</f>
        <v>Gretchen La Roche</v>
      </c>
      <c r="C3" s="150"/>
      <c r="D3" s="150"/>
      <c r="E3" s="150"/>
    </row>
    <row r="4" spans="1:6" ht="21" customHeight="1" x14ac:dyDescent="0.25">
      <c r="A4" s="3" t="s">
        <v>109</v>
      </c>
      <c r="B4" s="150">
        <f>'Summary and sign-off'!B4:F4</f>
        <v>45839</v>
      </c>
      <c r="C4" s="150"/>
      <c r="D4" s="150"/>
      <c r="E4" s="150"/>
    </row>
    <row r="5" spans="1:6" ht="21" customHeight="1" x14ac:dyDescent="0.25">
      <c r="A5" s="3" t="s">
        <v>110</v>
      </c>
      <c r="B5" s="150">
        <f>'Summary and sign-off'!B5:F5</f>
        <v>46203</v>
      </c>
      <c r="C5" s="150"/>
      <c r="D5" s="150"/>
      <c r="E5" s="150"/>
    </row>
    <row r="6" spans="1:6" ht="21" customHeight="1" x14ac:dyDescent="0.25">
      <c r="A6" s="3" t="s">
        <v>111</v>
      </c>
      <c r="B6" s="145" t="s">
        <v>78</v>
      </c>
      <c r="C6" s="145"/>
      <c r="D6" s="145"/>
      <c r="E6" s="145"/>
      <c r="F6" s="23"/>
    </row>
    <row r="7" spans="1:6" ht="21" customHeight="1" x14ac:dyDescent="0.25">
      <c r="A7" s="3" t="s">
        <v>52</v>
      </c>
      <c r="B7" s="145" t="s">
        <v>80</v>
      </c>
      <c r="C7" s="145"/>
      <c r="D7" s="145"/>
      <c r="E7" s="145"/>
      <c r="F7" s="23"/>
    </row>
    <row r="8" spans="1:6" ht="35.25" customHeight="1" x14ac:dyDescent="0.25">
      <c r="A8" s="155" t="s">
        <v>146</v>
      </c>
      <c r="B8" s="155"/>
      <c r="C8" s="162"/>
      <c r="D8" s="162"/>
      <c r="E8" s="162"/>
    </row>
    <row r="9" spans="1:6" ht="35.25" customHeight="1" x14ac:dyDescent="0.25">
      <c r="A9" s="163" t="s">
        <v>147</v>
      </c>
      <c r="B9" s="164"/>
      <c r="C9" s="164"/>
      <c r="D9" s="164"/>
      <c r="E9" s="164"/>
    </row>
    <row r="10" spans="1:6" ht="27" customHeight="1" x14ac:dyDescent="0.25">
      <c r="A10" s="24" t="s">
        <v>115</v>
      </c>
      <c r="B10" s="24" t="s">
        <v>59</v>
      </c>
      <c r="C10" s="24" t="s">
        <v>148</v>
      </c>
      <c r="D10" s="24" t="s">
        <v>149</v>
      </c>
      <c r="E10" s="24" t="s">
        <v>119</v>
      </c>
      <c r="F10" s="20"/>
    </row>
    <row r="11" spans="1:6" s="2" customFormat="1" hidden="1" x14ac:dyDescent="0.25">
      <c r="A11" s="95"/>
      <c r="B11" s="92"/>
      <c r="C11" s="96"/>
      <c r="D11" s="96"/>
      <c r="E11" s="97"/>
    </row>
    <row r="12" spans="1:6" s="2" customFormat="1" x14ac:dyDescent="0.25">
      <c r="A12" s="111"/>
      <c r="B12" s="112"/>
      <c r="C12" s="116" t="s">
        <v>378</v>
      </c>
      <c r="D12" s="116"/>
      <c r="E12" s="117"/>
    </row>
    <row r="13" spans="1:6" s="2" customFormat="1" x14ac:dyDescent="0.25">
      <c r="A13" s="111"/>
      <c r="B13" s="112"/>
      <c r="C13" s="116"/>
      <c r="D13" s="116"/>
      <c r="E13" s="117"/>
    </row>
    <row r="14" spans="1:6" s="2" customFormat="1" x14ac:dyDescent="0.25">
      <c r="A14" s="111"/>
      <c r="B14" s="112"/>
      <c r="C14" s="116"/>
      <c r="D14" s="116"/>
      <c r="E14" s="117"/>
    </row>
    <row r="15" spans="1:6" s="2" customFormat="1" x14ac:dyDescent="0.25">
      <c r="A15" s="111"/>
      <c r="B15" s="112"/>
      <c r="C15" s="116"/>
      <c r="D15" s="116"/>
      <c r="E15" s="117"/>
    </row>
    <row r="16" spans="1:6" s="2" customFormat="1" x14ac:dyDescent="0.25">
      <c r="A16" s="111"/>
      <c r="B16" s="112"/>
      <c r="C16" s="116"/>
      <c r="D16" s="116"/>
      <c r="E16" s="117"/>
    </row>
    <row r="17" spans="1:6" s="2" customFormat="1" x14ac:dyDescent="0.25">
      <c r="A17" s="111"/>
      <c r="B17" s="112"/>
      <c r="C17" s="116"/>
      <c r="D17" s="116"/>
      <c r="E17" s="117"/>
    </row>
    <row r="18" spans="1:6" s="2" customFormat="1" x14ac:dyDescent="0.25">
      <c r="A18" s="111"/>
      <c r="B18" s="112"/>
      <c r="C18" s="116"/>
      <c r="D18" s="116"/>
      <c r="E18" s="117"/>
    </row>
    <row r="19" spans="1:6" s="2" customFormat="1" x14ac:dyDescent="0.25">
      <c r="A19" s="111"/>
      <c r="B19" s="112"/>
      <c r="C19" s="116"/>
      <c r="D19" s="116"/>
      <c r="E19" s="117"/>
    </row>
    <row r="20" spans="1:6" s="2" customFormat="1" x14ac:dyDescent="0.25">
      <c r="A20" s="111"/>
      <c r="B20" s="112"/>
      <c r="C20" s="116"/>
      <c r="D20" s="116"/>
      <c r="E20" s="117"/>
    </row>
    <row r="21" spans="1:6" s="2" customFormat="1" x14ac:dyDescent="0.25">
      <c r="A21" s="111"/>
      <c r="B21" s="112"/>
      <c r="C21" s="116"/>
      <c r="D21" s="116"/>
      <c r="E21" s="117"/>
    </row>
    <row r="22" spans="1:6" s="2" customFormat="1" x14ac:dyDescent="0.25">
      <c r="A22" s="115"/>
      <c r="B22" s="112"/>
      <c r="C22" s="116"/>
      <c r="D22" s="116"/>
      <c r="E22" s="117"/>
    </row>
    <row r="23" spans="1:6" s="2" customFormat="1" x14ac:dyDescent="0.25">
      <c r="A23" s="115"/>
      <c r="B23" s="112"/>
      <c r="C23" s="116"/>
      <c r="D23" s="116"/>
      <c r="E23" s="117"/>
    </row>
    <row r="24" spans="1:6" s="2" customFormat="1" hidden="1" x14ac:dyDescent="0.25">
      <c r="A24" s="95"/>
      <c r="B24" s="92"/>
      <c r="C24" s="96"/>
      <c r="D24" s="96"/>
      <c r="E24" s="97"/>
    </row>
    <row r="25" spans="1:6" ht="34.5" customHeight="1" x14ac:dyDescent="0.25">
      <c r="A25" s="51" t="s">
        <v>150</v>
      </c>
      <c r="B25" s="60">
        <f>SUM(B11:B24)</f>
        <v>0</v>
      </c>
      <c r="C25" s="68" t="str">
        <f>IF(SUBTOTAL(3,B11:B24)=SUBTOTAL(103,B11:B24),'Summary and sign-off'!$A$48,'Summary and sign-off'!$A$49)</f>
        <v>Check - there are no hidden rows with data</v>
      </c>
      <c r="D25" s="151" t="str">
        <f>IF('Summary and sign-off'!F59='Summary and sign-off'!F54,'Summary and sign-off'!A51,'Summary and sign-off'!A50)</f>
        <v>Check - each entry provides sufficient information</v>
      </c>
      <c r="E25" s="151"/>
    </row>
    <row r="26" spans="1:6" ht="14.1" customHeight="1" x14ac:dyDescent="0.25">
      <c r="B26" s="17"/>
      <c r="C26" s="17"/>
      <c r="D26" s="17"/>
      <c r="E26" s="17"/>
    </row>
    <row r="27" spans="1:6" x14ac:dyDescent="0.25">
      <c r="A27" s="18" t="s">
        <v>151</v>
      </c>
      <c r="B27" s="17"/>
      <c r="C27" s="17"/>
      <c r="D27" s="17"/>
      <c r="E27" s="17"/>
    </row>
    <row r="28" spans="1:6" ht="12.6" customHeight="1" x14ac:dyDescent="0.25">
      <c r="A28" s="20" t="s">
        <v>129</v>
      </c>
      <c r="B28" s="17"/>
      <c r="C28" s="17"/>
      <c r="D28" s="17"/>
      <c r="E28" s="17"/>
    </row>
    <row r="29" spans="1:6" x14ac:dyDescent="0.25">
      <c r="A29" s="20" t="s">
        <v>76</v>
      </c>
      <c r="B29" s="19"/>
      <c r="C29" s="17"/>
      <c r="D29" s="17"/>
      <c r="E29" s="17"/>
      <c r="F29" s="17"/>
    </row>
    <row r="30" spans="1:6" x14ac:dyDescent="0.25">
      <c r="A30" s="20" t="s">
        <v>143</v>
      </c>
      <c r="C30" s="17"/>
      <c r="D30" s="17"/>
      <c r="E30" s="17"/>
      <c r="F30" s="17"/>
    </row>
    <row r="31" spans="1:6" ht="12.75" customHeight="1" x14ac:dyDescent="0.25">
      <c r="A31" s="20" t="s">
        <v>144</v>
      </c>
      <c r="B31" s="25"/>
      <c r="C31" s="22"/>
      <c r="D31" s="22"/>
      <c r="E31" s="22"/>
      <c r="F31" s="22"/>
    </row>
    <row r="32" spans="1:6" x14ac:dyDescent="0.25">
      <c r="B32" s="26"/>
      <c r="C32" s="17"/>
      <c r="D32" s="17"/>
      <c r="E32" s="17"/>
    </row>
    <row r="33" spans="1:5" hidden="1" x14ac:dyDescent="0.25">
      <c r="A33" s="17"/>
      <c r="B33" s="17"/>
      <c r="C33" s="17"/>
      <c r="D33" s="17"/>
    </row>
    <row r="34" spans="1:5" ht="12.75" hidden="1" customHeight="1" x14ac:dyDescent="0.25"/>
    <row r="35" spans="1:5" hidden="1" x14ac:dyDescent="0.25">
      <c r="A35" s="17"/>
      <c r="B35" s="17"/>
      <c r="C35" s="17"/>
      <c r="D35" s="17"/>
      <c r="E35" s="17"/>
    </row>
    <row r="36" spans="1:5" hidden="1" x14ac:dyDescent="0.25">
      <c r="A36" s="17"/>
      <c r="B36" s="17"/>
      <c r="C36" s="17"/>
      <c r="D36" s="17"/>
      <c r="E36" s="17"/>
    </row>
    <row r="37" spans="1:5" hidden="1" x14ac:dyDescent="0.25">
      <c r="A37" s="17"/>
      <c r="B37" s="17"/>
      <c r="C37" s="17"/>
      <c r="D37" s="17"/>
      <c r="E37" s="17"/>
    </row>
    <row r="38" spans="1:5" hidden="1" x14ac:dyDescent="0.25">
      <c r="A38" s="17"/>
      <c r="B38" s="17"/>
      <c r="C38" s="17"/>
      <c r="D38" s="17"/>
      <c r="E38" s="17"/>
    </row>
    <row r="39" spans="1:5" hidden="1" x14ac:dyDescent="0.25">
      <c r="A39" s="17"/>
      <c r="B39" s="17"/>
      <c r="C39" s="17"/>
      <c r="D39" s="17"/>
      <c r="E39" s="17"/>
    </row>
  </sheetData>
  <sheetProtection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119"/>
  <sheetViews>
    <sheetView zoomScaleNormal="100" workbookViewId="0">
      <pane ySplit="10" topLeftCell="A11" activePane="bottomLeft" state="frozen"/>
      <selection pane="bottomLeft" activeCell="D95" sqref="D95"/>
    </sheetView>
  </sheetViews>
  <sheetFormatPr defaultColWidth="0" defaultRowHeight="13.2" zeroHeight="1" x14ac:dyDescent="0.25"/>
  <cols>
    <col min="1" max="1" width="35.6640625" customWidth="1"/>
    <col min="2" max="2" width="46.88671875" customWidth="1"/>
    <col min="3" max="3" width="22.109375" customWidth="1"/>
    <col min="4" max="4" width="25.44140625" customWidth="1"/>
    <col min="5" max="6" width="35.6640625" customWidth="1"/>
    <col min="7" max="7" width="38" customWidth="1"/>
    <col min="8" max="10" width="9.109375" hidden="1" customWidth="1"/>
    <col min="11" max="15" width="0" hidden="1" customWidth="1"/>
  </cols>
  <sheetData>
    <row r="1" spans="1:6" ht="26.25" customHeight="1" x14ac:dyDescent="0.25">
      <c r="A1" s="152" t="s">
        <v>152</v>
      </c>
      <c r="B1" s="152"/>
      <c r="C1" s="152"/>
      <c r="D1" s="152"/>
      <c r="E1" s="152"/>
      <c r="F1" s="152"/>
    </row>
    <row r="2" spans="1:6" ht="21" customHeight="1" x14ac:dyDescent="0.25">
      <c r="A2" s="3" t="s">
        <v>107</v>
      </c>
      <c r="B2" s="150" t="str">
        <f>'Summary and sign-off'!B2:F2</f>
        <v>Arts Council of New Zealand (Creative NZ)</v>
      </c>
      <c r="C2" s="150"/>
      <c r="D2" s="150"/>
      <c r="E2" s="150"/>
      <c r="F2" s="150"/>
    </row>
    <row r="3" spans="1:6" ht="31.2" x14ac:dyDescent="0.25">
      <c r="A3" s="3" t="s">
        <v>108</v>
      </c>
      <c r="B3" s="150" t="str">
        <f>'Summary and sign-off'!B3:F3</f>
        <v>Gretchen La Roche</v>
      </c>
      <c r="C3" s="150"/>
      <c r="D3" s="150"/>
      <c r="E3" s="150"/>
      <c r="F3" s="150"/>
    </row>
    <row r="4" spans="1:6" ht="21" customHeight="1" x14ac:dyDescent="0.25">
      <c r="A4" s="3" t="s">
        <v>109</v>
      </c>
      <c r="B4" s="150">
        <f>'Summary and sign-off'!B4:F4</f>
        <v>45839</v>
      </c>
      <c r="C4" s="150"/>
      <c r="D4" s="150"/>
      <c r="E4" s="150"/>
      <c r="F4" s="150"/>
    </row>
    <row r="5" spans="1:6" ht="21" customHeight="1" x14ac:dyDescent="0.25">
      <c r="A5" s="3" t="s">
        <v>110</v>
      </c>
      <c r="B5" s="150">
        <f>'Summary and sign-off'!B5:F5</f>
        <v>46203</v>
      </c>
      <c r="C5" s="150"/>
      <c r="D5" s="150"/>
      <c r="E5" s="150"/>
      <c r="F5" s="150"/>
    </row>
    <row r="6" spans="1:6" ht="21" customHeight="1" x14ac:dyDescent="0.25">
      <c r="A6" s="3" t="s">
        <v>153</v>
      </c>
      <c r="B6" s="145" t="s">
        <v>77</v>
      </c>
      <c r="C6" s="145"/>
      <c r="D6" s="145"/>
      <c r="E6" s="145"/>
      <c r="F6" s="145"/>
    </row>
    <row r="7" spans="1:6" ht="21" customHeight="1" x14ac:dyDescent="0.25">
      <c r="A7" s="3" t="s">
        <v>52</v>
      </c>
      <c r="B7" s="145" t="s">
        <v>80</v>
      </c>
      <c r="C7" s="145"/>
      <c r="D7" s="145"/>
      <c r="E7" s="145"/>
      <c r="F7" s="145"/>
    </row>
    <row r="8" spans="1:6" ht="36" customHeight="1" x14ac:dyDescent="0.25">
      <c r="A8" s="155" t="s">
        <v>154</v>
      </c>
      <c r="B8" s="155"/>
      <c r="C8" s="155"/>
      <c r="D8" s="155"/>
      <c r="E8" s="155"/>
      <c r="F8" s="155"/>
    </row>
    <row r="9" spans="1:6" ht="36" customHeight="1" x14ac:dyDescent="0.25">
      <c r="A9" s="163" t="s">
        <v>155</v>
      </c>
      <c r="B9" s="164"/>
      <c r="C9" s="164"/>
      <c r="D9" s="164"/>
      <c r="E9" s="164"/>
      <c r="F9" s="164"/>
    </row>
    <row r="10" spans="1:6" ht="39" customHeight="1" x14ac:dyDescent="0.25">
      <c r="A10" s="24" t="s">
        <v>115</v>
      </c>
      <c r="B10" s="106" t="s">
        <v>156</v>
      </c>
      <c r="C10" s="106" t="s">
        <v>157</v>
      </c>
      <c r="D10" s="106" t="s">
        <v>158</v>
      </c>
      <c r="E10" s="106" t="s">
        <v>159</v>
      </c>
      <c r="F10" s="106" t="s">
        <v>160</v>
      </c>
    </row>
    <row r="11" spans="1:6" s="2" customFormat="1" ht="26.4" x14ac:dyDescent="0.25">
      <c r="A11" s="111">
        <v>45840</v>
      </c>
      <c r="B11" s="116" t="s">
        <v>170</v>
      </c>
      <c r="C11" s="119" t="s">
        <v>93</v>
      </c>
      <c r="D11" s="116" t="s">
        <v>171</v>
      </c>
      <c r="E11" s="120">
        <v>90</v>
      </c>
      <c r="F11" s="117"/>
    </row>
    <row r="12" spans="1:6" s="2" customFormat="1" ht="26.4" x14ac:dyDescent="0.25">
      <c r="A12" s="111">
        <v>45843</v>
      </c>
      <c r="B12" s="116" t="s">
        <v>172</v>
      </c>
      <c r="C12" s="119" t="s">
        <v>93</v>
      </c>
      <c r="D12" s="116" t="s">
        <v>173</v>
      </c>
      <c r="E12" s="120">
        <v>136</v>
      </c>
      <c r="F12" s="117"/>
    </row>
    <row r="13" spans="1:6" s="2" customFormat="1" x14ac:dyDescent="0.25">
      <c r="A13" s="111">
        <v>45868</v>
      </c>
      <c r="B13" s="116" t="s">
        <v>174</v>
      </c>
      <c r="C13" s="119" t="s">
        <v>93</v>
      </c>
      <c r="D13" s="116" t="s">
        <v>175</v>
      </c>
      <c r="E13" s="120">
        <v>60</v>
      </c>
      <c r="F13" s="117"/>
    </row>
    <row r="14" spans="1:6" s="2" customFormat="1" ht="26.4" x14ac:dyDescent="0.25">
      <c r="A14" s="111">
        <v>45899</v>
      </c>
      <c r="B14" s="116" t="s">
        <v>176</v>
      </c>
      <c r="C14" s="119" t="s">
        <v>93</v>
      </c>
      <c r="D14" s="116" t="s">
        <v>177</v>
      </c>
      <c r="E14" s="120">
        <v>78</v>
      </c>
      <c r="F14" s="117"/>
    </row>
    <row r="15" spans="1:6" s="2" customFormat="1" ht="26.4" x14ac:dyDescent="0.25">
      <c r="A15" s="111">
        <v>45884</v>
      </c>
      <c r="B15" s="116" t="s">
        <v>178</v>
      </c>
      <c r="C15" s="119" t="s">
        <v>94</v>
      </c>
      <c r="D15" s="116" t="s">
        <v>179</v>
      </c>
      <c r="E15" s="120">
        <v>56</v>
      </c>
      <c r="F15" s="117"/>
    </row>
    <row r="16" spans="1:6" s="2" customFormat="1" x14ac:dyDescent="0.25">
      <c r="A16" s="111">
        <v>45902</v>
      </c>
      <c r="B16" s="116" t="s">
        <v>180</v>
      </c>
      <c r="C16" s="119" t="s">
        <v>93</v>
      </c>
      <c r="D16" s="116" t="s">
        <v>181</v>
      </c>
      <c r="E16" s="120">
        <v>64</v>
      </c>
      <c r="F16" s="117"/>
    </row>
    <row r="17" spans="1:6" s="2" customFormat="1" x14ac:dyDescent="0.25">
      <c r="A17" s="111">
        <v>45905</v>
      </c>
      <c r="B17" s="116" t="s">
        <v>182</v>
      </c>
      <c r="C17" s="119" t="s">
        <v>93</v>
      </c>
      <c r="D17" s="116" t="s">
        <v>183</v>
      </c>
      <c r="E17" s="120">
        <v>130</v>
      </c>
      <c r="F17" s="117"/>
    </row>
    <row r="18" spans="1:6" s="2" customFormat="1" x14ac:dyDescent="0.25">
      <c r="A18" s="111">
        <v>45906</v>
      </c>
      <c r="B18" s="116" t="s">
        <v>184</v>
      </c>
      <c r="C18" s="119" t="s">
        <v>93</v>
      </c>
      <c r="D18" s="116" t="s">
        <v>185</v>
      </c>
      <c r="E18" s="120">
        <v>156</v>
      </c>
      <c r="F18" s="117"/>
    </row>
    <row r="19" spans="1:6" s="2" customFormat="1" ht="26.4" x14ac:dyDescent="0.25">
      <c r="A19" s="111">
        <v>45913</v>
      </c>
      <c r="B19" s="116" t="s">
        <v>186</v>
      </c>
      <c r="C19" s="119" t="s">
        <v>94</v>
      </c>
      <c r="D19" s="116" t="s">
        <v>179</v>
      </c>
      <c r="E19" s="120">
        <v>84</v>
      </c>
      <c r="F19" s="117"/>
    </row>
    <row r="20" spans="1:6" s="2" customFormat="1" x14ac:dyDescent="0.25">
      <c r="A20" s="111">
        <v>45919</v>
      </c>
      <c r="B20" s="116" t="s">
        <v>187</v>
      </c>
      <c r="C20" s="119" t="s">
        <v>93</v>
      </c>
      <c r="D20" s="116" t="s">
        <v>188</v>
      </c>
      <c r="E20" s="120">
        <v>198</v>
      </c>
      <c r="F20" s="117"/>
    </row>
    <row r="21" spans="1:6" s="2" customFormat="1" x14ac:dyDescent="0.25">
      <c r="A21" s="111">
        <v>45922</v>
      </c>
      <c r="B21" s="116" t="s">
        <v>189</v>
      </c>
      <c r="C21" s="119" t="s">
        <v>94</v>
      </c>
      <c r="D21" s="116" t="s">
        <v>190</v>
      </c>
      <c r="E21" s="120">
        <v>50</v>
      </c>
      <c r="F21" s="117"/>
    </row>
    <row r="22" spans="1:6" s="2" customFormat="1" x14ac:dyDescent="0.25">
      <c r="A22" s="111">
        <v>45925</v>
      </c>
      <c r="B22" s="116" t="s">
        <v>191</v>
      </c>
      <c r="C22" s="119" t="s">
        <v>94</v>
      </c>
      <c r="D22" s="116" t="s">
        <v>192</v>
      </c>
      <c r="E22" s="120">
        <v>57</v>
      </c>
      <c r="F22" s="117"/>
    </row>
    <row r="23" spans="1:6" s="2" customFormat="1" x14ac:dyDescent="0.25">
      <c r="A23" s="111">
        <v>45933</v>
      </c>
      <c r="B23" s="116" t="s">
        <v>193</v>
      </c>
      <c r="C23" s="119" t="s">
        <v>93</v>
      </c>
      <c r="D23" s="116" t="s">
        <v>185</v>
      </c>
      <c r="E23" s="120">
        <v>178</v>
      </c>
      <c r="F23" s="117"/>
    </row>
    <row r="24" spans="1:6" s="2" customFormat="1" x14ac:dyDescent="0.25">
      <c r="A24" s="111">
        <v>45938</v>
      </c>
      <c r="B24" s="116" t="s">
        <v>194</v>
      </c>
      <c r="C24" s="119" t="s">
        <v>93</v>
      </c>
      <c r="D24" s="116" t="s">
        <v>177</v>
      </c>
      <c r="E24" s="120">
        <v>110</v>
      </c>
      <c r="F24" s="117"/>
    </row>
    <row r="25" spans="1:6" s="2" customFormat="1" x14ac:dyDescent="0.25">
      <c r="A25" s="111">
        <v>45960</v>
      </c>
      <c r="B25" s="116" t="s">
        <v>195</v>
      </c>
      <c r="C25" s="119" t="s">
        <v>94</v>
      </c>
      <c r="D25" s="116" t="s">
        <v>196</v>
      </c>
      <c r="E25" s="120">
        <v>130</v>
      </c>
      <c r="F25" s="117"/>
    </row>
    <row r="26" spans="1:6" s="2" customFormat="1" x14ac:dyDescent="0.25">
      <c r="A26" s="111">
        <v>45946</v>
      </c>
      <c r="B26" s="116" t="s">
        <v>197</v>
      </c>
      <c r="C26" s="119" t="s">
        <v>94</v>
      </c>
      <c r="D26" s="116" t="s">
        <v>173</v>
      </c>
      <c r="E26" s="120">
        <v>57</v>
      </c>
      <c r="F26" s="117"/>
    </row>
    <row r="27" spans="1:6" s="2" customFormat="1" ht="26.4" x14ac:dyDescent="0.25">
      <c r="A27" s="111">
        <v>45946</v>
      </c>
      <c r="B27" s="116" t="s">
        <v>198</v>
      </c>
      <c r="C27" s="119" t="s">
        <v>93</v>
      </c>
      <c r="D27" s="116" t="s">
        <v>199</v>
      </c>
      <c r="E27" s="120">
        <v>155</v>
      </c>
      <c r="F27" s="117"/>
    </row>
    <row r="28" spans="1:6" s="2" customFormat="1" x14ac:dyDescent="0.25">
      <c r="A28" s="111">
        <v>45947</v>
      </c>
      <c r="B28" s="116" t="s">
        <v>200</v>
      </c>
      <c r="C28" s="119" t="s">
        <v>93</v>
      </c>
      <c r="D28" s="116" t="s">
        <v>201</v>
      </c>
      <c r="E28" s="120">
        <v>100</v>
      </c>
      <c r="F28" s="117"/>
    </row>
    <row r="29" spans="1:6" s="2" customFormat="1" x14ac:dyDescent="0.25">
      <c r="A29" s="111">
        <v>45948</v>
      </c>
      <c r="B29" s="116" t="s">
        <v>202</v>
      </c>
      <c r="C29" s="119" t="s">
        <v>94</v>
      </c>
      <c r="D29" s="116" t="s">
        <v>203</v>
      </c>
      <c r="E29" s="120">
        <v>110</v>
      </c>
      <c r="F29" s="117"/>
    </row>
    <row r="30" spans="1:6" s="2" customFormat="1" ht="26.4" x14ac:dyDescent="0.25">
      <c r="A30" s="111">
        <v>45954</v>
      </c>
      <c r="B30" s="116" t="s">
        <v>204</v>
      </c>
      <c r="C30" s="119" t="s">
        <v>94</v>
      </c>
      <c r="D30" s="116" t="s">
        <v>185</v>
      </c>
      <c r="E30" s="120">
        <v>92</v>
      </c>
      <c r="F30" s="117"/>
    </row>
    <row r="31" spans="1:6" s="2" customFormat="1" x14ac:dyDescent="0.25">
      <c r="A31" s="111">
        <v>45975</v>
      </c>
      <c r="B31" s="116" t="s">
        <v>205</v>
      </c>
      <c r="C31" s="119" t="s">
        <v>93</v>
      </c>
      <c r="D31" s="116" t="s">
        <v>183</v>
      </c>
      <c r="E31" s="120">
        <v>60</v>
      </c>
      <c r="F31" s="117"/>
    </row>
    <row r="32" spans="1:6" s="2" customFormat="1" ht="26.4" x14ac:dyDescent="0.25">
      <c r="A32" s="111">
        <v>45976</v>
      </c>
      <c r="B32" s="116" t="s">
        <v>206</v>
      </c>
      <c r="C32" s="119" t="s">
        <v>94</v>
      </c>
      <c r="D32" s="116" t="s">
        <v>179</v>
      </c>
      <c r="E32" s="120">
        <v>59</v>
      </c>
      <c r="F32" s="117"/>
    </row>
    <row r="33" spans="1:6" s="2" customFormat="1" x14ac:dyDescent="0.25">
      <c r="A33" s="111">
        <v>45982</v>
      </c>
      <c r="B33" s="116" t="s">
        <v>207</v>
      </c>
      <c r="C33" s="119" t="s">
        <v>93</v>
      </c>
      <c r="D33" s="116" t="s">
        <v>208</v>
      </c>
      <c r="E33" s="120">
        <v>138</v>
      </c>
      <c r="F33" s="117"/>
    </row>
    <row r="34" spans="1:6" s="2" customFormat="1" x14ac:dyDescent="0.25">
      <c r="A34" s="111">
        <v>45983</v>
      </c>
      <c r="B34" s="116" t="s">
        <v>209</v>
      </c>
      <c r="C34" s="119" t="s">
        <v>94</v>
      </c>
      <c r="D34" s="116" t="s">
        <v>203</v>
      </c>
      <c r="E34" s="120">
        <v>105</v>
      </c>
      <c r="F34" s="117"/>
    </row>
    <row r="35" spans="1:6" s="2" customFormat="1" x14ac:dyDescent="0.25">
      <c r="A35" s="111">
        <v>45990</v>
      </c>
      <c r="B35" s="116" t="s">
        <v>210</v>
      </c>
      <c r="C35" s="119" t="s">
        <v>94</v>
      </c>
      <c r="D35" s="116" t="s">
        <v>185</v>
      </c>
      <c r="E35" s="120">
        <v>102</v>
      </c>
      <c r="F35" s="117"/>
    </row>
    <row r="36" spans="1:6" s="2" customFormat="1" ht="26.4" x14ac:dyDescent="0.25">
      <c r="A36" s="111">
        <v>45991</v>
      </c>
      <c r="B36" s="116" t="s">
        <v>211</v>
      </c>
      <c r="C36" s="119" t="s">
        <v>94</v>
      </c>
      <c r="D36" s="116" t="s">
        <v>212</v>
      </c>
      <c r="E36" s="120">
        <v>70</v>
      </c>
      <c r="F36" s="117"/>
    </row>
    <row r="37" spans="1:6" s="2" customFormat="1" ht="26.4" x14ac:dyDescent="0.25">
      <c r="A37" s="111">
        <v>45991</v>
      </c>
      <c r="B37" s="116" t="s">
        <v>213</v>
      </c>
      <c r="C37" s="119" t="s">
        <v>94</v>
      </c>
      <c r="D37" s="116" t="s">
        <v>214</v>
      </c>
      <c r="E37" s="120">
        <v>110</v>
      </c>
      <c r="F37" s="117"/>
    </row>
    <row r="38" spans="1:6" s="2" customFormat="1" x14ac:dyDescent="0.25">
      <c r="A38" s="111">
        <v>45993</v>
      </c>
      <c r="B38" s="116" t="s">
        <v>215</v>
      </c>
      <c r="C38" s="119" t="s">
        <v>94</v>
      </c>
      <c r="D38" s="116" t="s">
        <v>216</v>
      </c>
      <c r="E38" s="120">
        <v>59</v>
      </c>
      <c r="F38" s="117"/>
    </row>
    <row r="39" spans="1:6" s="2" customFormat="1" x14ac:dyDescent="0.25">
      <c r="A39" s="111">
        <v>45995</v>
      </c>
      <c r="B39" s="116" t="s">
        <v>217</v>
      </c>
      <c r="C39" s="119" t="s">
        <v>93</v>
      </c>
      <c r="D39" s="116" t="s">
        <v>196</v>
      </c>
      <c r="E39" s="120">
        <v>130</v>
      </c>
      <c r="F39" s="117"/>
    </row>
    <row r="40" spans="1:6" s="2" customFormat="1" x14ac:dyDescent="0.25">
      <c r="A40" s="111">
        <v>46007</v>
      </c>
      <c r="B40" s="116" t="s">
        <v>218</v>
      </c>
      <c r="C40" s="119" t="s">
        <v>93</v>
      </c>
      <c r="D40" s="116" t="s">
        <v>219</v>
      </c>
      <c r="E40" s="120">
        <v>63</v>
      </c>
      <c r="F40" s="117"/>
    </row>
    <row r="41" spans="1:6" s="2" customFormat="1" ht="26.4" x14ac:dyDescent="0.25">
      <c r="A41" s="111">
        <v>46045</v>
      </c>
      <c r="B41" s="116" t="s">
        <v>220</v>
      </c>
      <c r="C41" s="119" t="s">
        <v>94</v>
      </c>
      <c r="D41" s="116" t="s">
        <v>221</v>
      </c>
      <c r="E41" s="120">
        <v>180</v>
      </c>
      <c r="F41" s="117"/>
    </row>
    <row r="42" spans="1:6" s="2" customFormat="1" ht="26.4" x14ac:dyDescent="0.25">
      <c r="A42" s="111">
        <v>46065</v>
      </c>
      <c r="B42" s="116" t="s">
        <v>222</v>
      </c>
      <c r="C42" s="119" t="s">
        <v>93</v>
      </c>
      <c r="D42" s="116" t="s">
        <v>181</v>
      </c>
      <c r="E42" s="120">
        <v>210</v>
      </c>
      <c r="F42" s="117"/>
    </row>
    <row r="43" spans="1:6" s="2" customFormat="1" x14ac:dyDescent="0.25">
      <c r="A43" s="111">
        <v>46065</v>
      </c>
      <c r="B43" s="116" t="s">
        <v>223</v>
      </c>
      <c r="C43" s="119" t="s">
        <v>94</v>
      </c>
      <c r="D43" s="116" t="s">
        <v>224</v>
      </c>
      <c r="E43" s="120">
        <v>59</v>
      </c>
      <c r="F43" s="117"/>
    </row>
    <row r="44" spans="1:6" s="2" customFormat="1" ht="26.4" x14ac:dyDescent="0.25">
      <c r="A44" s="111">
        <v>46066</v>
      </c>
      <c r="B44" s="116" t="s">
        <v>225</v>
      </c>
      <c r="C44" s="119" t="s">
        <v>94</v>
      </c>
      <c r="D44" s="116" t="s">
        <v>226</v>
      </c>
      <c r="E44" s="120">
        <v>60</v>
      </c>
      <c r="F44" s="117"/>
    </row>
    <row r="45" spans="1:6" s="2" customFormat="1" ht="26.4" x14ac:dyDescent="0.25">
      <c r="A45" s="111">
        <v>46072</v>
      </c>
      <c r="B45" s="116" t="s">
        <v>227</v>
      </c>
      <c r="C45" s="119" t="s">
        <v>94</v>
      </c>
      <c r="D45" s="116" t="s">
        <v>228</v>
      </c>
      <c r="E45" s="120">
        <v>200</v>
      </c>
      <c r="F45" s="117"/>
    </row>
    <row r="46" spans="1:6" s="2" customFormat="1" x14ac:dyDescent="0.25">
      <c r="A46" s="111">
        <v>46072</v>
      </c>
      <c r="B46" s="116" t="s">
        <v>227</v>
      </c>
      <c r="C46" s="119" t="s">
        <v>94</v>
      </c>
      <c r="D46" s="116" t="s">
        <v>229</v>
      </c>
      <c r="E46" s="120">
        <v>200</v>
      </c>
      <c r="F46" s="117"/>
    </row>
    <row r="47" spans="1:6" s="2" customFormat="1" x14ac:dyDescent="0.25">
      <c r="A47" s="111">
        <v>46072</v>
      </c>
      <c r="B47" s="116" t="s">
        <v>230</v>
      </c>
      <c r="C47" s="119" t="s">
        <v>94</v>
      </c>
      <c r="D47" s="116" t="s">
        <v>173</v>
      </c>
      <c r="E47" s="120">
        <v>70</v>
      </c>
      <c r="F47" s="117"/>
    </row>
    <row r="48" spans="1:6" s="2" customFormat="1" ht="26.4" x14ac:dyDescent="0.25">
      <c r="A48" s="111">
        <v>46074</v>
      </c>
      <c r="B48" s="116" t="s">
        <v>231</v>
      </c>
      <c r="C48" s="119" t="s">
        <v>94</v>
      </c>
      <c r="D48" s="116" t="s">
        <v>232</v>
      </c>
      <c r="E48" s="120">
        <v>65</v>
      </c>
      <c r="F48" s="117"/>
    </row>
    <row r="49" spans="1:6" s="2" customFormat="1" x14ac:dyDescent="0.25">
      <c r="A49" s="111">
        <v>46080</v>
      </c>
      <c r="B49" s="116" t="s">
        <v>233</v>
      </c>
      <c r="C49" s="119" t="s">
        <v>94</v>
      </c>
      <c r="D49" s="116" t="s">
        <v>234</v>
      </c>
      <c r="E49" s="120">
        <v>202</v>
      </c>
      <c r="F49" s="117"/>
    </row>
    <row r="50" spans="1:6" s="2" customFormat="1" x14ac:dyDescent="0.25">
      <c r="A50" s="111">
        <v>46081</v>
      </c>
      <c r="B50" s="116" t="s">
        <v>235</v>
      </c>
      <c r="C50" s="119" t="s">
        <v>94</v>
      </c>
      <c r="D50" s="116" t="s">
        <v>214</v>
      </c>
      <c r="E50" s="120">
        <v>98</v>
      </c>
      <c r="F50" s="117"/>
    </row>
    <row r="51" spans="1:6" s="2" customFormat="1" x14ac:dyDescent="0.25">
      <c r="A51" s="111">
        <v>46085</v>
      </c>
      <c r="B51" s="116" t="s">
        <v>236</v>
      </c>
      <c r="C51" s="119" t="s">
        <v>94</v>
      </c>
      <c r="D51" s="116" t="s">
        <v>237</v>
      </c>
      <c r="E51" s="120">
        <v>86</v>
      </c>
      <c r="F51" s="117"/>
    </row>
    <row r="52" spans="1:6" s="2" customFormat="1" x14ac:dyDescent="0.25">
      <c r="A52" s="111">
        <v>46089</v>
      </c>
      <c r="B52" s="116" t="s">
        <v>238</v>
      </c>
      <c r="C52" s="119" t="s">
        <v>93</v>
      </c>
      <c r="D52" s="116" t="s">
        <v>239</v>
      </c>
      <c r="E52" s="120">
        <v>55</v>
      </c>
      <c r="F52" s="117"/>
    </row>
    <row r="53" spans="1:6" s="2" customFormat="1" ht="26.4" x14ac:dyDescent="0.25">
      <c r="A53" s="111">
        <v>46093</v>
      </c>
      <c r="B53" s="116" t="s">
        <v>240</v>
      </c>
      <c r="C53" s="119" t="s">
        <v>93</v>
      </c>
      <c r="D53" s="116" t="s">
        <v>241</v>
      </c>
      <c r="E53" s="120">
        <v>140</v>
      </c>
      <c r="F53" s="117"/>
    </row>
    <row r="54" spans="1:6" s="2" customFormat="1" x14ac:dyDescent="0.25">
      <c r="A54" s="111">
        <v>46093</v>
      </c>
      <c r="B54" s="116" t="s">
        <v>242</v>
      </c>
      <c r="C54" s="119" t="s">
        <v>94</v>
      </c>
      <c r="D54" s="116" t="s">
        <v>243</v>
      </c>
      <c r="E54" s="120">
        <v>69</v>
      </c>
      <c r="F54" s="117"/>
    </row>
    <row r="55" spans="1:6" s="2" customFormat="1" ht="26.4" x14ac:dyDescent="0.25">
      <c r="A55" s="111">
        <v>46094</v>
      </c>
      <c r="B55" s="116" t="s">
        <v>244</v>
      </c>
      <c r="C55" s="119" t="s">
        <v>93</v>
      </c>
      <c r="D55" s="116" t="s">
        <v>241</v>
      </c>
      <c r="E55" s="120">
        <v>118</v>
      </c>
      <c r="F55" s="117"/>
    </row>
    <row r="56" spans="1:6" s="2" customFormat="1" x14ac:dyDescent="0.25">
      <c r="A56" s="111">
        <v>46094</v>
      </c>
      <c r="B56" s="116" t="s">
        <v>245</v>
      </c>
      <c r="C56" s="119" t="s">
        <v>94</v>
      </c>
      <c r="D56" s="116" t="s">
        <v>171</v>
      </c>
      <c r="E56" s="120">
        <v>66</v>
      </c>
      <c r="F56" s="117"/>
    </row>
    <row r="57" spans="1:6" s="2" customFormat="1" x14ac:dyDescent="0.25">
      <c r="A57" s="111">
        <v>46095</v>
      </c>
      <c r="B57" s="116" t="s">
        <v>246</v>
      </c>
      <c r="C57" s="119" t="s">
        <v>94</v>
      </c>
      <c r="D57" s="116" t="s">
        <v>247</v>
      </c>
      <c r="E57" s="120">
        <v>118</v>
      </c>
      <c r="F57" s="117"/>
    </row>
    <row r="58" spans="1:6" s="2" customFormat="1" x14ac:dyDescent="0.25">
      <c r="A58" s="111">
        <v>46098</v>
      </c>
      <c r="B58" s="116" t="s">
        <v>248</v>
      </c>
      <c r="C58" s="119" t="s">
        <v>93</v>
      </c>
      <c r="D58" s="116" t="s">
        <v>243</v>
      </c>
      <c r="E58" s="120">
        <v>89</v>
      </c>
      <c r="F58" s="117"/>
    </row>
    <row r="59" spans="1:6" s="2" customFormat="1" x14ac:dyDescent="0.25">
      <c r="A59" s="111">
        <v>46100</v>
      </c>
      <c r="B59" s="116" t="s">
        <v>249</v>
      </c>
      <c r="C59" s="119" t="s">
        <v>93</v>
      </c>
      <c r="D59" s="116" t="s">
        <v>243</v>
      </c>
      <c r="E59" s="120">
        <v>80</v>
      </c>
      <c r="F59" s="117"/>
    </row>
    <row r="60" spans="1:6" s="2" customFormat="1" x14ac:dyDescent="0.25">
      <c r="A60" s="111">
        <v>46107</v>
      </c>
      <c r="B60" s="116" t="s">
        <v>250</v>
      </c>
      <c r="C60" s="119" t="s">
        <v>94</v>
      </c>
      <c r="D60" s="116" t="s">
        <v>185</v>
      </c>
      <c r="E60" s="120">
        <v>210</v>
      </c>
      <c r="F60" s="117"/>
    </row>
    <row r="61" spans="1:6" s="2" customFormat="1" x14ac:dyDescent="0.25">
      <c r="A61" s="111">
        <v>46108</v>
      </c>
      <c r="B61" s="116" t="s">
        <v>251</v>
      </c>
      <c r="C61" s="119" t="s">
        <v>93</v>
      </c>
      <c r="D61" s="116" t="s">
        <v>252</v>
      </c>
      <c r="E61" s="120">
        <v>146</v>
      </c>
      <c r="F61" s="117"/>
    </row>
    <row r="62" spans="1:6" s="2" customFormat="1" x14ac:dyDescent="0.25">
      <c r="A62" s="111">
        <v>46114</v>
      </c>
      <c r="B62" s="116" t="s">
        <v>253</v>
      </c>
      <c r="C62" s="119" t="s">
        <v>94</v>
      </c>
      <c r="D62" s="116" t="s">
        <v>173</v>
      </c>
      <c r="E62" s="120">
        <v>142</v>
      </c>
      <c r="F62" s="117"/>
    </row>
    <row r="63" spans="1:6" s="2" customFormat="1" x14ac:dyDescent="0.25">
      <c r="A63" s="111">
        <v>46118</v>
      </c>
      <c r="B63" s="116" t="s">
        <v>254</v>
      </c>
      <c r="C63" s="119" t="s">
        <v>94</v>
      </c>
      <c r="D63" s="116" t="s">
        <v>224</v>
      </c>
      <c r="E63" s="120">
        <v>130</v>
      </c>
      <c r="F63" s="117"/>
    </row>
    <row r="64" spans="1:6" s="2" customFormat="1" x14ac:dyDescent="0.25">
      <c r="A64" s="111">
        <v>46120</v>
      </c>
      <c r="B64" s="116" t="s">
        <v>255</v>
      </c>
      <c r="C64" s="119" t="s">
        <v>94</v>
      </c>
      <c r="D64" s="116" t="s">
        <v>256</v>
      </c>
      <c r="E64" s="120">
        <v>65</v>
      </c>
      <c r="F64" s="117"/>
    </row>
    <row r="65" spans="1:6" s="2" customFormat="1" x14ac:dyDescent="0.25">
      <c r="A65" s="111">
        <v>46121</v>
      </c>
      <c r="B65" s="116" t="s">
        <v>257</v>
      </c>
      <c r="C65" s="119" t="s">
        <v>94</v>
      </c>
      <c r="D65" s="116" t="s">
        <v>181</v>
      </c>
      <c r="E65" s="120">
        <v>128</v>
      </c>
      <c r="F65" s="117"/>
    </row>
    <row r="66" spans="1:6" s="2" customFormat="1" ht="26.4" x14ac:dyDescent="0.25">
      <c r="A66" s="111">
        <v>46127</v>
      </c>
      <c r="B66" s="116" t="s">
        <v>258</v>
      </c>
      <c r="C66" s="119" t="s">
        <v>94</v>
      </c>
      <c r="D66" s="116" t="s">
        <v>259</v>
      </c>
      <c r="E66" s="120">
        <v>120</v>
      </c>
      <c r="F66" s="117"/>
    </row>
    <row r="67" spans="1:6" s="2" customFormat="1" ht="26.4" x14ac:dyDescent="0.25">
      <c r="A67" s="111">
        <v>46130</v>
      </c>
      <c r="B67" s="116" t="s">
        <v>260</v>
      </c>
      <c r="C67" s="119" t="s">
        <v>94</v>
      </c>
      <c r="D67" s="116" t="s">
        <v>261</v>
      </c>
      <c r="E67" s="120">
        <v>59</v>
      </c>
      <c r="F67" s="117"/>
    </row>
    <row r="68" spans="1:6" s="2" customFormat="1" ht="26.4" x14ac:dyDescent="0.25">
      <c r="A68" s="111">
        <v>46130</v>
      </c>
      <c r="B68" s="116" t="s">
        <v>262</v>
      </c>
      <c r="C68" s="119" t="s">
        <v>94</v>
      </c>
      <c r="D68" s="116" t="s">
        <v>179</v>
      </c>
      <c r="E68" s="120">
        <v>112</v>
      </c>
      <c r="F68" s="117"/>
    </row>
    <row r="69" spans="1:6" s="2" customFormat="1" x14ac:dyDescent="0.25">
      <c r="A69" s="111">
        <v>46135</v>
      </c>
      <c r="B69" s="116" t="s">
        <v>263</v>
      </c>
      <c r="C69" s="119" t="s">
        <v>94</v>
      </c>
      <c r="D69" s="116" t="s">
        <v>173</v>
      </c>
      <c r="E69" s="120">
        <v>106</v>
      </c>
      <c r="F69" s="117"/>
    </row>
    <row r="70" spans="1:6" s="2" customFormat="1" x14ac:dyDescent="0.25">
      <c r="A70" s="111">
        <v>46151</v>
      </c>
      <c r="B70" s="116" t="s">
        <v>264</v>
      </c>
      <c r="C70" s="119" t="s">
        <v>94</v>
      </c>
      <c r="D70" s="116" t="s">
        <v>265</v>
      </c>
      <c r="E70" s="120">
        <v>160</v>
      </c>
      <c r="F70" s="117"/>
    </row>
    <row r="71" spans="1:6" s="2" customFormat="1" x14ac:dyDescent="0.25">
      <c r="A71" s="111">
        <v>46152</v>
      </c>
      <c r="B71" s="116" t="s">
        <v>266</v>
      </c>
      <c r="C71" s="119" t="s">
        <v>94</v>
      </c>
      <c r="D71" s="116" t="s">
        <v>267</v>
      </c>
      <c r="E71" s="120">
        <v>132</v>
      </c>
      <c r="F71" s="117"/>
    </row>
    <row r="72" spans="1:6" s="2" customFormat="1" x14ac:dyDescent="0.25">
      <c r="A72" s="111">
        <v>46148</v>
      </c>
      <c r="B72" s="116" t="s">
        <v>268</v>
      </c>
      <c r="C72" s="119" t="s">
        <v>94</v>
      </c>
      <c r="D72" s="116" t="s">
        <v>269</v>
      </c>
      <c r="E72" s="120">
        <v>110</v>
      </c>
      <c r="F72" s="117"/>
    </row>
    <row r="73" spans="1:6" s="2" customFormat="1" ht="26.4" x14ac:dyDescent="0.25">
      <c r="A73" s="111">
        <v>46157</v>
      </c>
      <c r="B73" s="116" t="s">
        <v>270</v>
      </c>
      <c r="C73" s="119" t="s">
        <v>94</v>
      </c>
      <c r="D73" s="116" t="s">
        <v>179</v>
      </c>
      <c r="E73" s="120">
        <v>120</v>
      </c>
      <c r="F73" s="117"/>
    </row>
    <row r="74" spans="1:6" s="2" customFormat="1" x14ac:dyDescent="0.25">
      <c r="A74" s="111">
        <v>46159</v>
      </c>
      <c r="B74" s="116" t="s">
        <v>271</v>
      </c>
      <c r="C74" s="119" t="s">
        <v>94</v>
      </c>
      <c r="D74" s="116" t="s">
        <v>272</v>
      </c>
      <c r="E74" s="120">
        <v>134</v>
      </c>
      <c r="F74" s="117"/>
    </row>
    <row r="75" spans="1:6" s="2" customFormat="1" x14ac:dyDescent="0.25">
      <c r="A75" s="111">
        <v>46164</v>
      </c>
      <c r="B75" s="116" t="s">
        <v>273</v>
      </c>
      <c r="C75" s="119" t="s">
        <v>94</v>
      </c>
      <c r="D75" s="116" t="s">
        <v>185</v>
      </c>
      <c r="E75" s="120">
        <v>210</v>
      </c>
      <c r="F75" s="117"/>
    </row>
    <row r="76" spans="1:6" s="2" customFormat="1" x14ac:dyDescent="0.25">
      <c r="A76" s="111">
        <v>46165</v>
      </c>
      <c r="B76" s="116" t="s">
        <v>274</v>
      </c>
      <c r="C76" s="119" t="s">
        <v>94</v>
      </c>
      <c r="D76" s="116" t="s">
        <v>275</v>
      </c>
      <c r="E76" s="120">
        <v>136</v>
      </c>
      <c r="F76" s="117"/>
    </row>
    <row r="77" spans="1:6" s="2" customFormat="1" x14ac:dyDescent="0.25">
      <c r="A77" s="111">
        <v>46165</v>
      </c>
      <c r="B77" s="118" t="s">
        <v>276</v>
      </c>
      <c r="C77" s="119" t="s">
        <v>93</v>
      </c>
      <c r="D77" s="118" t="s">
        <v>181</v>
      </c>
      <c r="E77" s="120">
        <v>158</v>
      </c>
      <c r="F77" s="121"/>
    </row>
    <row r="78" spans="1:6" s="2" customFormat="1" x14ac:dyDescent="0.25">
      <c r="A78" s="111">
        <v>46172</v>
      </c>
      <c r="B78" s="118" t="s">
        <v>277</v>
      </c>
      <c r="C78" s="119" t="s">
        <v>94</v>
      </c>
      <c r="D78" s="118" t="s">
        <v>278</v>
      </c>
      <c r="E78" s="120">
        <v>120</v>
      </c>
      <c r="F78" s="121"/>
    </row>
    <row r="79" spans="1:6" s="2" customFormat="1" x14ac:dyDescent="0.25">
      <c r="A79" s="111">
        <v>45807</v>
      </c>
      <c r="B79" s="118" t="s">
        <v>279</v>
      </c>
      <c r="C79" s="119" t="s">
        <v>94</v>
      </c>
      <c r="D79" s="118" t="s">
        <v>203</v>
      </c>
      <c r="E79" s="120">
        <v>122</v>
      </c>
      <c r="F79" s="121"/>
    </row>
    <row r="80" spans="1:6" s="2" customFormat="1" x14ac:dyDescent="0.25">
      <c r="A80" s="111">
        <v>46176</v>
      </c>
      <c r="B80" s="118" t="s">
        <v>280</v>
      </c>
      <c r="C80" s="119" t="s">
        <v>94</v>
      </c>
      <c r="D80" s="118" t="s">
        <v>281</v>
      </c>
      <c r="E80" s="120">
        <v>100</v>
      </c>
      <c r="F80" s="121"/>
    </row>
    <row r="81" spans="1:7" s="2" customFormat="1" ht="26.4" x14ac:dyDescent="0.25">
      <c r="A81" s="111">
        <v>46176</v>
      </c>
      <c r="B81" s="118" t="s">
        <v>282</v>
      </c>
      <c r="C81" s="119" t="s">
        <v>94</v>
      </c>
      <c r="D81" s="118" t="s">
        <v>283</v>
      </c>
      <c r="E81" s="120">
        <v>60</v>
      </c>
      <c r="F81" s="121"/>
    </row>
    <row r="82" spans="1:7" s="2" customFormat="1" x14ac:dyDescent="0.25">
      <c r="A82" s="111">
        <v>46178</v>
      </c>
      <c r="B82" s="118" t="s">
        <v>284</v>
      </c>
      <c r="C82" s="119" t="s">
        <v>94</v>
      </c>
      <c r="D82" s="118" t="s">
        <v>185</v>
      </c>
      <c r="E82" s="120">
        <v>112</v>
      </c>
      <c r="F82" s="121"/>
    </row>
    <row r="83" spans="1:7" s="2" customFormat="1" x14ac:dyDescent="0.25">
      <c r="A83" s="111">
        <v>46184</v>
      </c>
      <c r="B83" s="118" t="s">
        <v>285</v>
      </c>
      <c r="C83" s="119" t="s">
        <v>94</v>
      </c>
      <c r="D83" s="118" t="s">
        <v>173</v>
      </c>
      <c r="E83" s="120">
        <v>116</v>
      </c>
      <c r="F83" s="121"/>
    </row>
    <row r="84" spans="1:7" s="2" customFormat="1" x14ac:dyDescent="0.25">
      <c r="A84" s="111">
        <v>46190</v>
      </c>
      <c r="B84" s="118" t="s">
        <v>286</v>
      </c>
      <c r="C84" s="119" t="s">
        <v>93</v>
      </c>
      <c r="D84" s="118" t="s">
        <v>171</v>
      </c>
      <c r="E84" s="120">
        <v>80</v>
      </c>
      <c r="F84" s="121"/>
    </row>
    <row r="85" spans="1:7" s="2" customFormat="1" x14ac:dyDescent="0.25">
      <c r="A85" s="111">
        <v>46193</v>
      </c>
      <c r="B85" s="118" t="s">
        <v>287</v>
      </c>
      <c r="C85" s="119" t="s">
        <v>94</v>
      </c>
      <c r="D85" s="118" t="s">
        <v>181</v>
      </c>
      <c r="E85" s="120">
        <v>100</v>
      </c>
      <c r="F85" s="121"/>
    </row>
    <row r="86" spans="1:7" s="2" customFormat="1" ht="26.4" x14ac:dyDescent="0.25">
      <c r="A86" s="111">
        <v>46193</v>
      </c>
      <c r="B86" s="118" t="s">
        <v>288</v>
      </c>
      <c r="C86" s="119" t="s">
        <v>94</v>
      </c>
      <c r="D86" s="118" t="s">
        <v>179</v>
      </c>
      <c r="E86" s="120">
        <v>112</v>
      </c>
      <c r="F86" s="121"/>
    </row>
    <row r="87" spans="1:7" s="2" customFormat="1" x14ac:dyDescent="0.25">
      <c r="A87" s="111">
        <v>46200</v>
      </c>
      <c r="B87" s="118" t="s">
        <v>289</v>
      </c>
      <c r="C87" s="119" t="s">
        <v>93</v>
      </c>
      <c r="D87" s="118" t="s">
        <v>173</v>
      </c>
      <c r="E87" s="120">
        <v>116</v>
      </c>
      <c r="F87" s="121"/>
    </row>
    <row r="88" spans="1:7" s="2" customFormat="1" x14ac:dyDescent="0.25">
      <c r="A88" s="111">
        <v>46200</v>
      </c>
      <c r="B88" s="118" t="s">
        <v>290</v>
      </c>
      <c r="C88" s="119" t="s">
        <v>94</v>
      </c>
      <c r="D88" s="118" t="s">
        <v>291</v>
      </c>
      <c r="E88" s="120">
        <v>108</v>
      </c>
      <c r="F88" s="121"/>
    </row>
    <row r="89" spans="1:7" s="2" customFormat="1" x14ac:dyDescent="0.25">
      <c r="A89" s="111">
        <v>46206</v>
      </c>
      <c r="B89" s="118" t="s">
        <v>292</v>
      </c>
      <c r="C89" s="119" t="s">
        <v>93</v>
      </c>
      <c r="D89" s="118" t="s">
        <v>183</v>
      </c>
      <c r="E89" s="120">
        <v>120</v>
      </c>
      <c r="F89" s="121"/>
    </row>
    <row r="90" spans="1:7" s="2" customFormat="1" x14ac:dyDescent="0.25">
      <c r="A90" s="111"/>
      <c r="B90" s="118"/>
      <c r="C90" s="119"/>
      <c r="D90" s="118"/>
      <c r="E90" s="120"/>
      <c r="F90" s="121"/>
    </row>
    <row r="91" spans="1:7" s="2" customFormat="1" x14ac:dyDescent="0.25">
      <c r="A91" s="111"/>
      <c r="B91" s="118"/>
      <c r="C91" s="119"/>
      <c r="D91" s="118"/>
      <c r="E91" s="120"/>
      <c r="F91" s="121"/>
    </row>
    <row r="92" spans="1:7" s="2" customFormat="1" ht="12.75" hidden="1" customHeight="1" x14ac:dyDescent="0.25">
      <c r="A92" s="91"/>
      <c r="B92" s="96"/>
      <c r="C92" s="98"/>
      <c r="D92" s="96"/>
      <c r="E92" s="99"/>
      <c r="F92" s="97"/>
    </row>
    <row r="93" spans="1:7" ht="34.5" customHeight="1" x14ac:dyDescent="0.25">
      <c r="A93" s="107" t="s">
        <v>161</v>
      </c>
      <c r="B93" s="108" t="s">
        <v>162</v>
      </c>
      <c r="C93" s="109">
        <f>C94+C95</f>
        <v>79</v>
      </c>
      <c r="D93" s="110" t="str">
        <f>IF(SUBTOTAL(3,C11:C92)=SUBTOTAL(103,C11:C92),'Summary and sign-off'!$A$48,'Summary and sign-off'!$A$49)</f>
        <v>Check - there are no hidden rows with data</v>
      </c>
      <c r="E93" s="165" t="str">
        <f>IF('Summary and sign-off'!F60='Summary and sign-off'!F54,'Summary and sign-off'!A52,'Summary and sign-off'!A50)</f>
        <v>Check - each entry provides sufficient information</v>
      </c>
      <c r="F93" s="165"/>
      <c r="G93" s="2"/>
    </row>
    <row r="94" spans="1:7" ht="25.5" customHeight="1" x14ac:dyDescent="0.3">
      <c r="A94" s="52"/>
      <c r="B94" s="53" t="s">
        <v>93</v>
      </c>
      <c r="C94" s="54">
        <f>COUNTIF(C11:C92,'Summary and sign-off'!A45)</f>
        <v>27</v>
      </c>
      <c r="D94" s="14"/>
      <c r="E94" s="15"/>
      <c r="F94" s="16"/>
    </row>
    <row r="95" spans="1:7" ht="25.5" customHeight="1" x14ac:dyDescent="0.3">
      <c r="A95" s="52"/>
      <c r="B95" s="53" t="s">
        <v>94</v>
      </c>
      <c r="C95" s="54">
        <f>COUNTIF(C11:C92,'Summary and sign-off'!A46)</f>
        <v>52</v>
      </c>
      <c r="D95" s="14"/>
      <c r="E95" s="15"/>
      <c r="F95" s="16"/>
    </row>
    <row r="96" spans="1:7" x14ac:dyDescent="0.25">
      <c r="A96" s="17"/>
      <c r="B96" s="18"/>
      <c r="C96" s="17"/>
      <c r="D96" s="19"/>
      <c r="E96" s="19"/>
      <c r="F96" s="17"/>
    </row>
    <row r="97" spans="1:6" x14ac:dyDescent="0.25">
      <c r="A97" s="18" t="s">
        <v>151</v>
      </c>
      <c r="B97" s="18"/>
      <c r="C97" s="18"/>
      <c r="D97" s="18"/>
      <c r="E97" s="18"/>
      <c r="F97" s="18"/>
    </row>
    <row r="98" spans="1:6" ht="12.6" customHeight="1" x14ac:dyDescent="0.25">
      <c r="A98" s="20" t="s">
        <v>129</v>
      </c>
      <c r="B98" s="17"/>
      <c r="C98" s="17"/>
      <c r="D98" s="17"/>
      <c r="E98" s="17"/>
    </row>
    <row r="99" spans="1:6" x14ac:dyDescent="0.25">
      <c r="A99" s="20" t="s">
        <v>76</v>
      </c>
      <c r="B99" s="19"/>
      <c r="C99" s="17"/>
      <c r="D99" s="17"/>
      <c r="E99" s="17"/>
      <c r="F99" s="17"/>
    </row>
    <row r="100" spans="1:6" x14ac:dyDescent="0.25">
      <c r="A100" s="20" t="s">
        <v>163</v>
      </c>
      <c r="B100" s="21"/>
      <c r="C100" s="21"/>
      <c r="D100" s="21"/>
      <c r="E100" s="21"/>
      <c r="F100" s="21"/>
    </row>
    <row r="101" spans="1:6" ht="12.75" customHeight="1" x14ac:dyDescent="0.25">
      <c r="A101" s="20" t="s">
        <v>164</v>
      </c>
      <c r="B101" s="17"/>
      <c r="C101" s="17"/>
      <c r="D101" s="17"/>
      <c r="E101" s="17"/>
      <c r="F101" s="17"/>
    </row>
    <row r="102" spans="1:6" ht="12.9" customHeight="1" x14ac:dyDescent="0.25">
      <c r="A102" s="20" t="s">
        <v>165</v>
      </c>
      <c r="B102" s="17"/>
      <c r="C102" s="17"/>
      <c r="D102" s="17"/>
      <c r="E102" s="17"/>
      <c r="F102" s="17"/>
    </row>
    <row r="103" spans="1:6" x14ac:dyDescent="0.25">
      <c r="A103" s="20" t="s">
        <v>166</v>
      </c>
      <c r="C103" s="17"/>
      <c r="D103" s="17"/>
      <c r="E103" s="17"/>
      <c r="F103" s="17"/>
    </row>
    <row r="104" spans="1:6" ht="12.75" customHeight="1" x14ac:dyDescent="0.25">
      <c r="A104" s="20" t="s">
        <v>144</v>
      </c>
      <c r="B104" s="20"/>
      <c r="C104" s="22"/>
      <c r="D104" s="22"/>
      <c r="E104" s="22"/>
      <c r="F104" s="22"/>
    </row>
    <row r="105" spans="1:6" ht="12.75" customHeight="1" x14ac:dyDescent="0.25">
      <c r="A105" s="20"/>
      <c r="B105" s="20"/>
      <c r="C105" s="22"/>
      <c r="D105" s="22"/>
      <c r="E105" s="22"/>
      <c r="F105" s="22"/>
    </row>
    <row r="106" spans="1:6" ht="12.75" hidden="1" customHeight="1" x14ac:dyDescent="0.25">
      <c r="A106" s="20"/>
      <c r="B106" s="20"/>
      <c r="C106" s="22"/>
      <c r="D106" s="22"/>
      <c r="E106" s="22"/>
      <c r="F106" s="22"/>
    </row>
    <row r="107" spans="1:6" x14ac:dyDescent="0.25"/>
    <row r="108" spans="1:6" x14ac:dyDescent="0.25"/>
    <row r="109" spans="1:6" ht="12.75" hidden="1" customHeight="1" x14ac:dyDescent="0.25">
      <c r="A109" s="18"/>
      <c r="B109" s="18"/>
      <c r="C109" s="18"/>
      <c r="D109" s="18"/>
      <c r="E109" s="18"/>
      <c r="F109" s="18"/>
    </row>
    <row r="110" spans="1:6" ht="12.75" hidden="1" customHeight="1" x14ac:dyDescent="0.25">
      <c r="A110" s="18"/>
      <c r="B110" s="18"/>
      <c r="C110" s="18"/>
      <c r="D110" s="18"/>
      <c r="E110" s="18"/>
      <c r="F110" s="18"/>
    </row>
    <row r="111" spans="1:6" ht="12.75" hidden="1" customHeight="1" x14ac:dyDescent="0.25">
      <c r="A111" s="18"/>
      <c r="B111" s="18"/>
      <c r="C111" s="18"/>
      <c r="D111" s="18"/>
      <c r="E111" s="18"/>
      <c r="F111" s="18"/>
    </row>
    <row r="112" spans="1:6" ht="12.75" hidden="1" customHeight="1" x14ac:dyDescent="0.25">
      <c r="A112" s="18"/>
      <c r="B112" s="18"/>
      <c r="C112" s="18"/>
      <c r="D112" s="18"/>
      <c r="E112" s="18"/>
      <c r="F112" s="18"/>
    </row>
    <row r="113" spans="1:6" ht="12.75" hidden="1" customHeight="1" x14ac:dyDescent="0.25">
      <c r="A113" s="18"/>
      <c r="B113" s="18"/>
      <c r="C113" s="18"/>
      <c r="D113" s="18"/>
      <c r="E113" s="18"/>
      <c r="F113" s="18"/>
    </row>
    <row r="116" spans="1:6" x14ac:dyDescent="0.25"/>
    <row r="117" spans="1:6" x14ac:dyDescent="0.25"/>
    <row r="118" spans="1:6" x14ac:dyDescent="0.25"/>
    <row r="119" spans="1:6" x14ac:dyDescent="0.25"/>
  </sheetData>
  <sheetProtection formatCells="0" insertRows="0" deleteRows="0"/>
  <dataConsolidate/>
  <mergeCells count="10">
    <mergeCell ref="E93:F93"/>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76 A92"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77 A78 A79:A88 A89 A90 A91" xr:uid="{61363320-0676-4565-A398-E3539027BA4F}">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C11:C92</xm:sqref>
        </x14:dataValidation>
        <x14:dataValidation type="list" errorStyle="information" operator="greaterThan" allowBlank="1" showInputMessage="1" prompt="Provide specific $ value if possible" xr:uid="{00000000-0002-0000-0500-000003000000}">
          <x14:formula1>
            <xm:f>'Summary and sign-off'!$A$39:$A$44</xm:f>
          </x14:formula1>
          <xm:sqref>E11:E92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f37a04f-e0e9-45d7-845a-1a64b517f710">
      <Terms xmlns="http://schemas.microsoft.com/office/infopath/2007/PartnerControls"/>
    </lcf76f155ced4ddcb4097134ff3c332f>
    <SharedWithUsers xmlns="dc8d7ee1-75b8-4f87-985b-7dbee2668825">
      <UserInfo>
        <DisplayName>Ken Smart</DisplayName>
        <AccountId>87</AccountId>
        <AccountType/>
      </UserInfo>
      <UserInfo>
        <DisplayName>Nehalkumar patel</DisplayName>
        <AccountId>157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243764E569094E9B6C28A80811E6C3" ma:contentTypeVersion="15" ma:contentTypeDescription="Create a new document." ma:contentTypeScope="" ma:versionID="74733008201f06fb3d531c1dd0f45a03">
  <xsd:schema xmlns:xsd="http://www.w3.org/2001/XMLSchema" xmlns:xs="http://www.w3.org/2001/XMLSchema" xmlns:p="http://schemas.microsoft.com/office/2006/metadata/properties" xmlns:ns2="df37a04f-e0e9-45d7-845a-1a64b517f710" xmlns:ns3="dc8d7ee1-75b8-4f87-985b-7dbee2668825" targetNamespace="http://schemas.microsoft.com/office/2006/metadata/properties" ma:root="true" ma:fieldsID="7b9d86feadbf88949d794106dc200a16" ns2:_="" ns3:_="">
    <xsd:import namespace="df37a04f-e0e9-45d7-845a-1a64b517f710"/>
    <xsd:import namespace="dc8d7ee1-75b8-4f87-985b-7dbee266882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7a04f-e0e9-45d7-845a-1a64b517f7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54f842a-b86f-4341-96eb-b93a389407c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8d7ee1-75b8-4f87-985b-7dbee266882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79D7F4-D0D7-4BCB-BBEA-E7C37A64913E}">
  <ds:schemaRefs>
    <ds:schemaRef ds:uri="http://schemas.microsoft.com/office/2006/documentManagement/types"/>
    <ds:schemaRef ds:uri="http://schemas.openxmlformats.org/package/2006/metadata/core-properties"/>
    <ds:schemaRef ds:uri="dc8d7ee1-75b8-4f87-985b-7dbee2668825"/>
    <ds:schemaRef ds:uri="http://purl.org/dc/elements/1.1/"/>
    <ds:schemaRef ds:uri="http://purl.org/dc/terms/"/>
    <ds:schemaRef ds:uri="http://schemas.microsoft.com/office/2006/metadata/properties"/>
    <ds:schemaRef ds:uri="http://www.w3.org/XML/1998/namespace"/>
    <ds:schemaRef ds:uri="df37a04f-e0e9-45d7-845a-1a64b517f710"/>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CB7704F1-E97F-4EA5-BF08-16350CDEE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7a04f-e0e9-45d7-845a-1a64b517f710"/>
    <ds:schemaRef ds:uri="dc8d7ee1-75b8-4f87-985b-7dbee26688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Rachel Driscoll</cp:lastModifiedBy>
  <cp:revision/>
  <dcterms:created xsi:type="dcterms:W3CDTF">2010-10-17T20:59:02Z</dcterms:created>
  <dcterms:modified xsi:type="dcterms:W3CDTF">2026-07-28T04:18:48Z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0x01010013243764E569094E9B6C28A80811E6C3</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y fmtid="{D5CDD505-2E9C-101B-9397-08002B2CF9AE}" pid="11" name="Report_x0020_Frequency">
    <vt:lpwstr/>
  </property>
  <property fmtid="{D5CDD505-2E9C-101B-9397-08002B2CF9AE}" pid="12" name="f921e8b21d5d46a08b4ed8bc3773123b">
    <vt:lpwstr>SLT|542a0d42-ebc7-404f-ad9e-e9fe3a736d5c</vt:lpwstr>
  </property>
  <property fmtid="{D5CDD505-2E9C-101B-9397-08002B2CF9AE}" pid="13" name="Document_x0020_Type">
    <vt:lpwstr>1;#Report|c967359e-ba62-476b-b3c9-2370b68c754f</vt:lpwstr>
  </property>
  <property fmtid="{D5CDD505-2E9C-101B-9397-08002B2CF9AE}" pid="14" name="MediaServiceImageTags">
    <vt:lpwstr/>
  </property>
  <property fmtid="{D5CDD505-2E9C-101B-9397-08002B2CF9AE}" pid="15" name="p4f68ee493344f4e9716631b78aec2d1">
    <vt:lpwstr>2025-26|059155e9-0fcc-4c17-b940-a692e15c2c2c</vt:lpwstr>
  </property>
  <property fmtid="{D5CDD505-2E9C-101B-9397-08002B2CF9AE}" pid="16" name="Frequency">
    <vt:lpwstr/>
  </property>
  <property fmtid="{D5CDD505-2E9C-101B-9397-08002B2CF9AE}" pid="17" name="Provider">
    <vt:lpwstr/>
  </property>
  <property fmtid="{D5CDD505-2E9C-101B-9397-08002B2CF9AE}" pid="18" name="k27bb8ca8acb40e6adabc24cc132eff2">
    <vt:lpwstr>Audit year end|25d3baff-4aa6-455e-9170-1448add7bfa9</vt:lpwstr>
  </property>
  <property fmtid="{D5CDD505-2E9C-101B-9397-08002B2CF9AE}" pid="19" name="l9e136910e5343489e00e7dfc90edc4a">
    <vt:lpwstr/>
  </property>
  <property fmtid="{D5CDD505-2E9C-101B-9397-08002B2CF9AE}" pid="20" name="b873fbeb460c4a778aebc1986825785c">
    <vt:lpwstr/>
  </property>
  <property fmtid="{D5CDD505-2E9C-101B-9397-08002B2CF9AE}" pid="21" name="Sub_x002d_category">
    <vt:lpwstr>26;#SLT|542a0d42-ebc7-404f-ad9e-e9fe3a736d5c</vt:lpwstr>
  </property>
  <property fmtid="{D5CDD505-2E9C-101B-9397-08002B2CF9AE}" pid="22" name="m2a1961ed2cc4e4bb3a1ba432cb3e43a">
    <vt:lpwstr>Report|c967359e-ba62-476b-b3c9-2370b68c754f</vt:lpwstr>
  </property>
  <property fmtid="{D5CDD505-2E9C-101B-9397-08002B2CF9AE}" pid="23" name="Financial_x0020_Year">
    <vt:lpwstr>166;#2025-26|059155e9-0fcc-4c17-b940-a692e15c2c2c</vt:lpwstr>
  </property>
  <property fmtid="{D5CDD505-2E9C-101B-9397-08002B2CF9AE}" pid="24" name="lfae9de2410d4efba2dc15289f148ae6">
    <vt:lpwstr/>
  </property>
  <property fmtid="{D5CDD505-2E9C-101B-9397-08002B2CF9AE}" pid="25" name="ob31ff9eba834e63898cb96b30a6940d">
    <vt:lpwstr/>
  </property>
  <property fmtid="{D5CDD505-2E9C-101B-9397-08002B2CF9AE}" pid="26" name="Status">
    <vt:lpwstr/>
  </property>
  <property fmtid="{D5CDD505-2E9C-101B-9397-08002B2CF9AE}" pid="27" name="TaxCatchAll">
    <vt:lpwstr>166;#2025-26|059155e9-0fcc-4c17-b940-a692e15c2c2c;#26;#SLT|542a0d42-ebc7-404f-ad9e-e9fe3a736d5c;#9;#Audit year end|25d3baff-4aa6-455e-9170-1448add7bfa9;#1;#Report|c967359e-ba62-476b-b3c9-2370b68c754f</vt:lpwstr>
  </property>
  <property fmtid="{D5CDD505-2E9C-101B-9397-08002B2CF9AE}" pid="28" name="h91158e9ab1847f0a8bcd075e6c0b282">
    <vt:lpwstr/>
  </property>
  <property fmtid="{D5CDD505-2E9C-101B-9397-08002B2CF9AE}" pid="29" name="gb67bd5314984263b7948735ab20f4d4">
    <vt:lpwstr/>
  </property>
  <property fmtid="{D5CDD505-2E9C-101B-9397-08002B2CF9AE}" pid="30" name="Finance_x0020_Category">
    <vt:lpwstr/>
  </property>
  <property fmtid="{D5CDD505-2E9C-101B-9397-08002B2CF9AE}" pid="31" name="Report_x0020_Type">
    <vt:lpwstr>9;#Audit year end|25d3baff-4aa6-455e-9170-1448add7bfa9</vt:lpwstr>
  </property>
  <property fmtid="{D5CDD505-2E9C-101B-9397-08002B2CF9AE}" pid="32" name="Action">
    <vt:lpwstr/>
  </property>
  <property fmtid="{D5CDD505-2E9C-101B-9397-08002B2CF9AE}" pid="33" name="Sub-category">
    <vt:lpwstr>26;#SLT|542a0d42-ebc7-404f-ad9e-e9fe3a736d5c</vt:lpwstr>
  </property>
  <property fmtid="{D5CDD505-2E9C-101B-9397-08002B2CF9AE}" pid="34" name="Report Frequency">
    <vt:lpwstr/>
  </property>
  <property fmtid="{D5CDD505-2E9C-101B-9397-08002B2CF9AE}" pid="35" name="Document Type">
    <vt:lpwstr>1;#Report|c967359e-ba62-476b-b3c9-2370b68c754f</vt:lpwstr>
  </property>
  <property fmtid="{D5CDD505-2E9C-101B-9397-08002B2CF9AE}" pid="36" name="Finance Category">
    <vt:lpwstr/>
  </property>
  <property fmtid="{D5CDD505-2E9C-101B-9397-08002B2CF9AE}" pid="37" name="Report Type">
    <vt:lpwstr>9;#Audit year end|25d3baff-4aa6-455e-9170-1448add7bfa9</vt:lpwstr>
  </property>
  <property fmtid="{D5CDD505-2E9C-101B-9397-08002B2CF9AE}" pid="38" name="Financial Year">
    <vt:lpwstr>166;#2025-26|059155e9-0fcc-4c17-b940-a692e15c2c2c</vt:lpwstr>
  </property>
  <property fmtid="{D5CDD505-2E9C-101B-9397-08002B2CF9AE}" pid="39" name="Month">
    <vt:lpwstr>June</vt:lpwstr>
  </property>
  <property fmtid="{D5CDD505-2E9C-101B-9397-08002B2CF9AE}" pid="40" name="Period End Date">
    <vt:filetime>2026-06-29T12:00:00Z</vt:filetime>
  </property>
  <property fmtid="{D5CDD505-2E9C-101B-9397-08002B2CF9AE}" pid="41" name="MSIP_Label_e0eca592-5208-4fbc-9d35-6ecd211438de_Enabled">
    <vt:lpwstr>true</vt:lpwstr>
  </property>
  <property fmtid="{D5CDD505-2E9C-101B-9397-08002B2CF9AE}" pid="42" name="MSIP_Label_e0eca592-5208-4fbc-9d35-6ecd211438de_SetDate">
    <vt:lpwstr>2026-07-22T23:31:21Z</vt:lpwstr>
  </property>
  <property fmtid="{D5CDD505-2E9C-101B-9397-08002B2CF9AE}" pid="43" name="MSIP_Label_e0eca592-5208-4fbc-9d35-6ecd211438de_Method">
    <vt:lpwstr>Standard</vt:lpwstr>
  </property>
  <property fmtid="{D5CDD505-2E9C-101B-9397-08002B2CF9AE}" pid="44" name="MSIP_Label_e0eca592-5208-4fbc-9d35-6ecd211438de_Name">
    <vt:lpwstr>Creative - Unclassified</vt:lpwstr>
  </property>
  <property fmtid="{D5CDD505-2E9C-101B-9397-08002B2CF9AE}" pid="45" name="MSIP_Label_e0eca592-5208-4fbc-9d35-6ecd211438de_SiteId">
    <vt:lpwstr>b8741af0-9558-487e-af8e-663df027f209</vt:lpwstr>
  </property>
  <property fmtid="{D5CDD505-2E9C-101B-9397-08002B2CF9AE}" pid="46" name="MSIP_Label_e0eca592-5208-4fbc-9d35-6ecd211438de_ActionId">
    <vt:lpwstr>3fd55654-f297-4f92-add5-78e946465bef</vt:lpwstr>
  </property>
  <property fmtid="{D5CDD505-2E9C-101B-9397-08002B2CF9AE}" pid="47" name="MSIP_Label_e0eca592-5208-4fbc-9d35-6ecd211438de_ContentBits">
    <vt:lpwstr>0</vt:lpwstr>
  </property>
  <property fmtid="{D5CDD505-2E9C-101B-9397-08002B2CF9AE}" pid="48" name="MSIP_Label_e0eca592-5208-4fbc-9d35-6ecd211438de_Tag">
    <vt:lpwstr>10, 3, 0, 1</vt:lpwstr>
  </property>
</Properties>
</file>